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45" windowWidth="11130" windowHeight="11385" activeTab="0"/>
  </bookViews>
  <sheets>
    <sheet name="Data" sheetId="1" r:id="rId1"/>
    <sheet name="Local Produce Skus Calculator " sheetId="2" r:id="rId2"/>
    <sheet name="Charts" sheetId="3" r:id="rId3"/>
    <sheet name="Local Skus" sheetId="4" r:id="rId4"/>
    <sheet name="Charts for Annual Report" sheetId="5" r:id="rId5"/>
  </sheets>
  <definedNames>
    <definedName name="_xlnm.Print_Area" localSheetId="3">'Local Skus'!$A$1:$F$137</definedName>
  </definedNames>
  <calcPr fullCalcOnLoad="1"/>
</workbook>
</file>

<file path=xl/sharedStrings.xml><?xml version="1.0" encoding="utf-8"?>
<sst xmlns="http://schemas.openxmlformats.org/spreadsheetml/2006/main" count="318" uniqueCount="252">
  <si>
    <t>TotalProducts</t>
  </si>
  <si>
    <t>Local Products</t>
  </si>
  <si>
    <t>Equal Exchange Payments</t>
  </si>
  <si>
    <t>% of Total COGS</t>
  </si>
  <si>
    <t>Total % of COGS to Local or Co-op Producers</t>
  </si>
  <si>
    <t>Active Lexington Owners</t>
  </si>
  <si>
    <t>% Total Sales to Owners</t>
  </si>
  <si>
    <t>Sales Growth</t>
  </si>
  <si>
    <t>Owners</t>
  </si>
  <si>
    <t>Caucasian</t>
  </si>
  <si>
    <t xml:space="preserve">African American </t>
  </si>
  <si>
    <t>Hispanic</t>
  </si>
  <si>
    <t>Asian or Pacific Islander</t>
  </si>
  <si>
    <t>American Indian or Alaskan</t>
  </si>
  <si>
    <t>Prefer not to respond</t>
  </si>
  <si>
    <t>Other</t>
  </si>
  <si>
    <t>Total</t>
  </si>
  <si>
    <t>Voting in Lexington Elections</t>
  </si>
  <si>
    <t>Annual Meeting Attendance</t>
  </si>
  <si>
    <t>Participation in Engagement Sessions</t>
  </si>
  <si>
    <t>Pride of Ownership</t>
  </si>
  <si>
    <t>Informational Brochures</t>
  </si>
  <si>
    <t>Good</t>
  </si>
  <si>
    <t xml:space="preserve">Fair </t>
  </si>
  <si>
    <t>Not Aware</t>
  </si>
  <si>
    <t>Not Important</t>
  </si>
  <si>
    <t>Lextalk Newsletter</t>
  </si>
  <si>
    <t xml:space="preserve">Workshops </t>
  </si>
  <si>
    <t>Basics Program</t>
  </si>
  <si>
    <t>Member Forums</t>
  </si>
  <si>
    <t>Excellent</t>
  </si>
  <si>
    <t>Monthly CAP Specials</t>
  </si>
  <si>
    <t>Demos &amp; Food Sampling</t>
  </si>
  <si>
    <t xml:space="preserve">Annual Meeting </t>
  </si>
  <si>
    <t>Annual Report</t>
  </si>
  <si>
    <t>Email updates</t>
  </si>
  <si>
    <t>2 Cent Board</t>
  </si>
  <si>
    <t>Lextalk Distribution</t>
  </si>
  <si>
    <t>Total Sales</t>
  </si>
  <si>
    <t>Income Diversity</t>
  </si>
  <si>
    <t>Under $20,000</t>
  </si>
  <si>
    <t>Elmwood Village</t>
  </si>
  <si>
    <t>$75,000+</t>
  </si>
  <si>
    <t>$50,000-$75,000</t>
  </si>
  <si>
    <t>$20,000-$50,000</t>
  </si>
  <si>
    <t xml:space="preserve">Elmwood Village </t>
  </si>
  <si>
    <t>Lexington Survey</t>
  </si>
  <si>
    <t>No data</t>
  </si>
  <si>
    <t>Diversity of Owners &amp; Shoppers</t>
  </si>
  <si>
    <t>Differential</t>
  </si>
  <si>
    <t>Filled out Survey</t>
  </si>
  <si>
    <t>% of Active Owners</t>
  </si>
  <si>
    <t>Important</t>
  </si>
  <si>
    <t>Special Orders for Items Not Carried</t>
  </si>
  <si>
    <t>Member Appreciation Day</t>
  </si>
  <si>
    <t>Holiday Open House</t>
  </si>
  <si>
    <t>Owner Only Specials</t>
  </si>
  <si>
    <t>Basic Discounts</t>
  </si>
  <si>
    <t>Neutral</t>
  </si>
  <si>
    <t>Small Group Meetings</t>
  </si>
  <si>
    <t>All Owner Meetings</t>
  </si>
  <si>
    <t>Excellent or Good</t>
  </si>
  <si>
    <t xml:space="preserve">Wages </t>
  </si>
  <si>
    <t>Owner Discounts</t>
  </si>
  <si>
    <t>Staff Discounts</t>
  </si>
  <si>
    <t>Senior Discounts</t>
  </si>
  <si>
    <t>Local Lenders</t>
  </si>
  <si>
    <t>Local Service Providers</t>
  </si>
  <si>
    <t>Local Farmers</t>
  </si>
  <si>
    <t>Local Food Producers</t>
  </si>
  <si>
    <t>Local Distributors</t>
  </si>
  <si>
    <t>Total Returned to Local Economy</t>
  </si>
  <si>
    <t>Local Farmers &amp; Food Producers</t>
  </si>
  <si>
    <t>Total COGS</t>
  </si>
  <si>
    <t>% of total COGS</t>
  </si>
  <si>
    <t>Total Discounts</t>
  </si>
  <si>
    <t>Local Suppliers &amp; Service Providers</t>
  </si>
  <si>
    <t>Equity in Other Co-ops</t>
  </si>
  <si>
    <t>NCGA</t>
  </si>
  <si>
    <t>NCB</t>
  </si>
  <si>
    <t>NCDF</t>
  </si>
  <si>
    <t>Frontier</t>
  </si>
  <si>
    <t>Donations to Co-op Funds</t>
  </si>
  <si>
    <t>Member Loans Payable</t>
  </si>
  <si>
    <t xml:space="preserve">Loans from Co-ops </t>
  </si>
  <si>
    <t>LEAF</t>
  </si>
  <si>
    <t>BERC</t>
  </si>
  <si>
    <t>ECIDA</t>
  </si>
  <si>
    <t>Credit Union</t>
  </si>
  <si>
    <t>HSBC</t>
  </si>
  <si>
    <t>Sales of Co-op Products</t>
  </si>
  <si>
    <t>Equal Exchange</t>
  </si>
  <si>
    <t>Organic Valley</t>
  </si>
  <si>
    <t>Debt: Equity</t>
  </si>
  <si>
    <t>Debt % of Assets</t>
  </si>
  <si>
    <t xml:space="preserve">Debt </t>
  </si>
  <si>
    <t>Assets</t>
  </si>
  <si>
    <t>Equity</t>
  </si>
  <si>
    <t>Equity Increase</t>
  </si>
  <si>
    <t>Energy Usage</t>
  </si>
  <si>
    <t>Electric</t>
  </si>
  <si>
    <t>Gas/ Total Sales</t>
  </si>
  <si>
    <t>Electric/ Total Sales</t>
  </si>
  <si>
    <t>Gas (in CCFs)</t>
  </si>
  <si>
    <t>Change</t>
  </si>
  <si>
    <t>Sales in Bulk &amp; Produce</t>
  </si>
  <si>
    <t>Bulk Sales</t>
  </si>
  <si>
    <t>Produce Sales</t>
  </si>
  <si>
    <t>Non-Owners</t>
  </si>
  <si>
    <t>Average Basket April-June</t>
  </si>
  <si>
    <t>Note:  Changed method to include only those who shopped</t>
  </si>
  <si>
    <t xml:space="preserve">Once Again </t>
  </si>
  <si>
    <t>Sales</t>
  </si>
  <si>
    <t xml:space="preserve">Soyboy </t>
  </si>
  <si>
    <t>Margin</t>
  </si>
  <si>
    <t>Total COGS Local from UNFI</t>
  </si>
  <si>
    <t>Total Direct to Local Producers</t>
  </si>
  <si>
    <t>Total Local Producers</t>
  </si>
  <si>
    <t>Board Stipends</t>
  </si>
  <si>
    <t>Dawes Hill</t>
  </si>
  <si>
    <t>Patronage Dividends Paid Out</t>
  </si>
  <si>
    <t>Cost Plus Ratio Current Year</t>
  </si>
  <si>
    <t>Total to Mfr through UNFI</t>
  </si>
  <si>
    <t>Bonus Pay</t>
  </si>
  <si>
    <t>Vacation Wages</t>
  </si>
  <si>
    <t>Personal Days</t>
  </si>
  <si>
    <t xml:space="preserve">Community Service </t>
  </si>
  <si>
    <t>Subtotal Wages</t>
  </si>
  <si>
    <t>COGS to UNFI</t>
  </si>
  <si>
    <t>Total Co-op Products % of COGS</t>
  </si>
  <si>
    <t>Total Co-op Products % of Sales</t>
  </si>
  <si>
    <t>Net Income before Patronage</t>
  </si>
  <si>
    <t>Canning Classes</t>
  </si>
  <si>
    <t>Food Inc Screening</t>
  </si>
  <si>
    <t>Fresh! Screening</t>
  </si>
  <si>
    <t>Farmers Market Tabling</t>
  </si>
  <si>
    <t xml:space="preserve">Lbs Sold </t>
  </si>
  <si>
    <t>Jan-Jun 2009</t>
  </si>
  <si>
    <t xml:space="preserve">Basics Program Sales </t>
  </si>
  <si>
    <t>Markdown from Price Level 1</t>
  </si>
  <si>
    <t>Produce &amp; Deli Worksheet</t>
  </si>
  <si>
    <t xml:space="preserve">Grocery </t>
  </si>
  <si>
    <t>Personal Care</t>
  </si>
  <si>
    <t>Owner Savings From Peachtree</t>
  </si>
  <si>
    <t xml:space="preserve">Sales to Owners </t>
  </si>
  <si>
    <t>Gross Sales During Period</t>
  </si>
  <si>
    <t>Gross Sales During 1st Six Months</t>
  </si>
  <si>
    <t>Savings as % of Gross Sales</t>
  </si>
  <si>
    <t>Days in Period</t>
  </si>
  <si>
    <t>Basics</t>
  </si>
  <si>
    <t>Dividends Distributed</t>
  </si>
  <si>
    <t xml:space="preserve">Discounts </t>
  </si>
  <si>
    <t xml:space="preserve">Total  </t>
  </si>
  <si>
    <t>Growth</t>
  </si>
  <si>
    <t>Local SKUs</t>
  </si>
  <si>
    <t>Total SKUs - (items sold within last 2 mos)</t>
  </si>
  <si>
    <t xml:space="preserve">% of SKUs that are local </t>
  </si>
  <si>
    <t>lbs</t>
  </si>
  <si>
    <t>Recycled Cardboard</t>
  </si>
  <si>
    <t>Compost (est)</t>
  </si>
  <si>
    <t>City Recycling (est)</t>
  </si>
  <si>
    <t xml:space="preserve">Total Recycled </t>
  </si>
  <si>
    <t>Total Landfilled Trash</t>
  </si>
  <si>
    <t>Total Trash</t>
  </si>
  <si>
    <t>% of Local Skus</t>
  </si>
  <si>
    <t>Local Items</t>
  </si>
  <si>
    <t>% Local Skus</t>
  </si>
  <si>
    <t>Total Produce</t>
  </si>
  <si>
    <t>Conventional Produce</t>
  </si>
  <si>
    <t>Organic Produce</t>
  </si>
  <si>
    <t>Total Wellness</t>
  </si>
  <si>
    <t xml:space="preserve">Personal Care                 </t>
  </si>
  <si>
    <t xml:space="preserve">Supplements                   </t>
  </si>
  <si>
    <t xml:space="preserve">Herbs &amp; Spices                </t>
  </si>
  <si>
    <t>Total Center Store</t>
  </si>
  <si>
    <t xml:space="preserve">Packaged Grocery              </t>
  </si>
  <si>
    <t xml:space="preserve">Magazines &amp; Newspapers        </t>
  </si>
  <si>
    <t xml:space="preserve">General Merchandise           </t>
  </si>
  <si>
    <t>Total Perishables</t>
  </si>
  <si>
    <t xml:space="preserve">Bakery                        </t>
  </si>
  <si>
    <t xml:space="preserve">Bulk                          </t>
  </si>
  <si>
    <t xml:space="preserve">Refrigerated Grocery          </t>
  </si>
  <si>
    <t xml:space="preserve">Frozen                        </t>
  </si>
  <si>
    <t>Cheese &amp; Meat</t>
  </si>
  <si>
    <t xml:space="preserve">Meat                          </t>
  </si>
  <si>
    <t xml:space="preserve">Fish &amp; Seafood                </t>
  </si>
  <si>
    <t xml:space="preserve">Cheese                        </t>
  </si>
  <si>
    <t>Deli &amp; Bakehouse</t>
  </si>
  <si>
    <t xml:space="preserve">Deli                          </t>
  </si>
  <si>
    <t xml:space="preserve">Bakehouse                     </t>
  </si>
  <si>
    <t xml:space="preserve">Shizen - SALES                </t>
  </si>
  <si>
    <t>Non-Local SKUs</t>
  </si>
  <si>
    <t>A4</t>
  </si>
  <si>
    <t>Global</t>
  </si>
  <si>
    <t>A3: Local &amp; Co-operative Economies</t>
  </si>
  <si>
    <t>A4.</t>
  </si>
  <si>
    <t>A sustainable environment</t>
  </si>
  <si>
    <t>Net Promoter Score</t>
  </si>
  <si>
    <t>Global Ends Measurement</t>
  </si>
  <si>
    <t>Total In Survey</t>
  </si>
  <si>
    <t>Net Promoter</t>
  </si>
  <si>
    <t>Promoters</t>
  </si>
  <si>
    <t>Neutrals</t>
  </si>
  <si>
    <t>Detractors</t>
  </si>
  <si>
    <t>Active Owner Growth</t>
  </si>
  <si>
    <t>Owner Survey Lextalk Newsletter</t>
  </si>
  <si>
    <t>Pride of Ownership Important</t>
  </si>
  <si>
    <t>Net Profit</t>
  </si>
  <si>
    <t>A1:  Socially Responsible Products &amp; Services Affordable</t>
  </si>
  <si>
    <t>A2: The community is educated about nutrition, consumer issues, and cooperative principles</t>
  </si>
  <si>
    <t>A2 Education</t>
  </si>
  <si>
    <t>Email Update Distribution</t>
  </si>
  <si>
    <t>Summer Meeting</t>
  </si>
  <si>
    <t>Annual Meeting</t>
  </si>
  <si>
    <t>Field &amp; Fork Farmers Market</t>
  </si>
  <si>
    <t>World on Your Plate Seminar</t>
  </si>
  <si>
    <t>Total Co-op Hosted</t>
  </si>
  <si>
    <t>Total Co-op Sponsored</t>
  </si>
  <si>
    <t>a lot</t>
  </si>
  <si>
    <t>Events, Meetings &amp; Workshops</t>
  </si>
  <si>
    <t>Co-op Hosted</t>
  </si>
  <si>
    <t>Co-op Sponsored</t>
  </si>
  <si>
    <t>Events Net Promoter Score</t>
  </si>
  <si>
    <t>Eat Local Challenge</t>
  </si>
  <si>
    <t>No Data</t>
  </si>
  <si>
    <t>Total Net Promoter Score</t>
  </si>
  <si>
    <t>Donations to Non-Profits</t>
  </si>
  <si>
    <t>A3 Local &amp; Co-operative Economies</t>
  </si>
  <si>
    <t>% of Sales</t>
  </si>
  <si>
    <t>Total Co-op Products</t>
  </si>
  <si>
    <t>% of total Sales Returned to Local Economy</t>
  </si>
  <si>
    <t>Local Mfrs UNFI</t>
  </si>
  <si>
    <t>Local &amp; Co-op MFRs Calculations</t>
  </si>
  <si>
    <t>Non-Local</t>
  </si>
  <si>
    <t>Local</t>
  </si>
  <si>
    <t>Minus Produce SKUs from Catapult</t>
  </si>
  <si>
    <t>Average Local Skus (from local Produce Skus Calculator)</t>
  </si>
  <si>
    <t>Non-Produce SKUs</t>
  </si>
  <si>
    <t>Total Locally Produced SKUs (From Catapult)</t>
  </si>
  <si>
    <t xml:space="preserve">Total SKUs  </t>
  </si>
  <si>
    <t>Deposits</t>
  </si>
  <si>
    <t>Garbage Produced</t>
  </si>
  <si>
    <t>% of Total</t>
  </si>
  <si>
    <t>Purchases to Co-op Mfrs</t>
  </si>
  <si>
    <t>Landfilled trash/ Sales</t>
  </si>
  <si>
    <t>Owner Savings</t>
  </si>
  <si>
    <t>Estimated Owner Only Specials Savings</t>
  </si>
  <si>
    <t>A4 Sustainable Environment</t>
  </si>
  <si>
    <t>Total % of Sales</t>
  </si>
  <si>
    <t xml:space="preserve">Average Total Produce Skus </t>
  </si>
  <si>
    <t>Non-Local Products</t>
  </si>
  <si>
    <t xml:space="preserve">Active Ownership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</si>
</sst>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#,##0.0"/>
    <numFmt numFmtId="173" formatCode="&quot;$&quot;#,##0"/>
    <numFmt numFmtId="174" formatCode="_(* #,##0.000_);_(* \(#,##0.000\);_(* &quot;-&quot;??_);_(@_)"/>
    <numFmt numFmtId="175" formatCode="_(* #,##0.0000_);_(* \(#,##0.0000\);_(* &quot;-&quot;??_);_(@_)"/>
    <numFmt numFmtId="176" formatCode="0.000"/>
    <numFmt numFmtId="177" formatCode="&quot;$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0.000000000000000%"/>
    <numFmt numFmtId="184" formatCode="_(\$* #,##0_);_(\$* \(#,##0\);_(\$* &quot;-&quot;_);_(@_)"/>
    <numFmt numFmtId="185" formatCode="\$#,##0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Tahoma"/>
      <family val="0"/>
    </font>
    <font>
      <sz val="5.5"/>
      <color indexed="8"/>
      <name val="Arial"/>
      <family val="0"/>
    </font>
    <font>
      <sz val="9.75"/>
      <color indexed="8"/>
      <name val="Tahoma"/>
      <family val="0"/>
    </font>
    <font>
      <sz val="4"/>
      <color indexed="8"/>
      <name val="Arial"/>
      <family val="0"/>
    </font>
    <font>
      <sz val="3.75"/>
      <color indexed="8"/>
      <name val="Arial"/>
      <family val="0"/>
    </font>
    <font>
      <sz val="9"/>
      <color indexed="8"/>
      <name val="Tahoma"/>
      <family val="0"/>
    </font>
    <font>
      <sz val="5"/>
      <color indexed="8"/>
      <name val="Arial"/>
      <family val="0"/>
    </font>
    <font>
      <sz val="8.75"/>
      <color indexed="8"/>
      <name val="Tahoma"/>
      <family val="0"/>
    </font>
    <font>
      <b/>
      <sz val="11"/>
      <color indexed="8"/>
      <name val="Tahoma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b/>
      <sz val="14"/>
      <color indexed="8"/>
      <name val="Tahoma"/>
      <family val="0"/>
    </font>
    <font>
      <sz val="8.5"/>
      <color indexed="8"/>
      <name val="Tahoma"/>
      <family val="0"/>
    </font>
    <font>
      <b/>
      <sz val="14"/>
      <color indexed="8"/>
      <name val="Arial"/>
      <family val="0"/>
    </font>
    <font>
      <sz val="4.5"/>
      <color indexed="8"/>
      <name val="Arial"/>
      <family val="0"/>
    </font>
    <font>
      <sz val="5.25"/>
      <color indexed="8"/>
      <name val="Arial"/>
      <family val="0"/>
    </font>
    <font>
      <b/>
      <sz val="8.25"/>
      <color indexed="8"/>
      <name val="Tahoma"/>
      <family val="0"/>
    </font>
    <font>
      <sz val="4.75"/>
      <color indexed="8"/>
      <name val="Arial"/>
      <family val="0"/>
    </font>
    <font>
      <sz val="11"/>
      <color indexed="8"/>
      <name val="Arial"/>
      <family val="0"/>
    </font>
    <font>
      <sz val="6.5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6.75"/>
      <color indexed="8"/>
      <name val="Arial"/>
      <family val="0"/>
    </font>
    <font>
      <sz val="9.7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165" fontId="4" fillId="33" borderId="12" xfId="59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165" fontId="4" fillId="34" borderId="12" xfId="59" applyNumberFormat="1" applyFont="1" applyFill="1" applyBorder="1" applyAlignment="1">
      <alignment horizontal="center"/>
    </xf>
    <xf numFmtId="9" fontId="4" fillId="33" borderId="13" xfId="59" applyFont="1" applyFill="1" applyBorder="1" applyAlignment="1">
      <alignment horizontal="center"/>
    </xf>
    <xf numFmtId="9" fontId="4" fillId="34" borderId="13" xfId="59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165" fontId="4" fillId="33" borderId="16" xfId="59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4" borderId="12" xfId="0" applyFont="1" applyFill="1" applyBorder="1" applyAlignment="1">
      <alignment/>
    </xf>
    <xf numFmtId="165" fontId="4" fillId="34" borderId="13" xfId="59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65" fontId="4" fillId="33" borderId="13" xfId="59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165" fontId="4" fillId="33" borderId="17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8" fontId="4" fillId="34" borderId="12" xfId="42" applyNumberFormat="1" applyFont="1" applyFill="1" applyBorder="1" applyAlignment="1">
      <alignment horizontal="center"/>
    </xf>
    <xf numFmtId="168" fontId="4" fillId="33" borderId="12" xfId="42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165" fontId="4" fillId="0" borderId="0" xfId="59" applyNumberFormat="1" applyFont="1" applyAlignment="1">
      <alignment/>
    </xf>
    <xf numFmtId="168" fontId="4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70" fontId="4" fillId="0" borderId="0" xfId="44" applyNumberFormat="1" applyFont="1" applyAlignment="1">
      <alignment/>
    </xf>
    <xf numFmtId="168" fontId="4" fillId="0" borderId="0" xfId="42" applyNumberFormat="1" applyFont="1" applyFill="1" applyBorder="1" applyAlignment="1" applyProtection="1">
      <alignment horizontal="right"/>
      <protection/>
    </xf>
    <xf numFmtId="44" fontId="4" fillId="0" borderId="0" xfId="44" applyFont="1" applyAlignment="1">
      <alignment/>
    </xf>
    <xf numFmtId="9" fontId="4" fillId="0" borderId="0" xfId="59" applyFont="1" applyAlignment="1">
      <alignment/>
    </xf>
    <xf numFmtId="165" fontId="4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9" fontId="4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10" fontId="4" fillId="0" borderId="0" xfId="59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9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9" fontId="4" fillId="34" borderId="12" xfId="59" applyFont="1" applyFill="1" applyBorder="1" applyAlignment="1">
      <alignment horizontal="center"/>
    </xf>
    <xf numFmtId="9" fontId="4" fillId="34" borderId="0" xfId="0" applyNumberFormat="1" applyFont="1" applyFill="1" applyAlignment="1">
      <alignment/>
    </xf>
    <xf numFmtId="9" fontId="4" fillId="33" borderId="12" xfId="59" applyFont="1" applyFill="1" applyBorder="1" applyAlignment="1">
      <alignment horizontal="center"/>
    </xf>
    <xf numFmtId="9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4" borderId="15" xfId="0" applyFont="1" applyFill="1" applyBorder="1" applyAlignment="1">
      <alignment/>
    </xf>
    <xf numFmtId="9" fontId="4" fillId="34" borderId="17" xfId="0" applyNumberFormat="1" applyFont="1" applyFill="1" applyBorder="1" applyAlignment="1">
      <alignment horizontal="center"/>
    </xf>
    <xf numFmtId="168" fontId="4" fillId="0" borderId="0" xfId="0" applyNumberFormat="1" applyFont="1" applyAlignment="1">
      <alignment/>
    </xf>
    <xf numFmtId="170" fontId="6" fillId="0" borderId="0" xfId="44" applyNumberFormat="1" applyFont="1" applyAlignment="1">
      <alignment/>
    </xf>
    <xf numFmtId="170" fontId="4" fillId="0" borderId="0" xfId="0" applyNumberFormat="1" applyFont="1" applyAlignment="1">
      <alignment/>
    </xf>
    <xf numFmtId="43" fontId="4" fillId="0" borderId="0" xfId="42" applyFont="1" applyAlignment="1">
      <alignment/>
    </xf>
    <xf numFmtId="0" fontId="6" fillId="33" borderId="14" xfId="0" applyFont="1" applyFill="1" applyBorder="1" applyAlignment="1">
      <alignment/>
    </xf>
    <xf numFmtId="1" fontId="6" fillId="33" borderId="12" xfId="59" applyNumberFormat="1" applyFont="1" applyFill="1" applyBorder="1" applyAlignment="1">
      <alignment horizontal="center"/>
    </xf>
    <xf numFmtId="1" fontId="6" fillId="33" borderId="13" xfId="59" applyNumberFormat="1" applyFont="1" applyFill="1" applyBorder="1" applyAlignment="1">
      <alignment horizontal="center"/>
    </xf>
    <xf numFmtId="9" fontId="6" fillId="33" borderId="12" xfId="59" applyFont="1" applyFill="1" applyBorder="1" applyAlignment="1">
      <alignment horizontal="center"/>
    </xf>
    <xf numFmtId="168" fontId="4" fillId="34" borderId="13" xfId="42" applyNumberFormat="1" applyFont="1" applyFill="1" applyBorder="1" applyAlignment="1">
      <alignment horizontal="center"/>
    </xf>
    <xf numFmtId="175" fontId="4" fillId="33" borderId="12" xfId="42" applyNumberFormat="1" applyFont="1" applyFill="1" applyBorder="1" applyAlignment="1">
      <alignment horizontal="center"/>
    </xf>
    <xf numFmtId="165" fontId="6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165" fontId="4" fillId="34" borderId="13" xfId="59" applyNumberFormat="1" applyFont="1" applyFill="1" applyBorder="1" applyAlignment="1">
      <alignment horizontal="center"/>
    </xf>
    <xf numFmtId="165" fontId="4" fillId="33" borderId="13" xfId="59" applyNumberFormat="1" applyFont="1" applyFill="1" applyBorder="1" applyAlignment="1">
      <alignment horizontal="center"/>
    </xf>
    <xf numFmtId="165" fontId="4" fillId="33" borderId="17" xfId="59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168" fontId="6" fillId="0" borderId="0" xfId="42" applyNumberFormat="1" applyFont="1" applyAlignment="1">
      <alignment/>
    </xf>
    <xf numFmtId="1" fontId="4" fillId="0" borderId="0" xfId="0" applyNumberFormat="1" applyFont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173" fontId="4" fillId="33" borderId="14" xfId="0" applyNumberFormat="1" applyFont="1" applyFill="1" applyBorder="1" applyAlignment="1">
      <alignment/>
    </xf>
    <xf numFmtId="173" fontId="4" fillId="34" borderId="14" xfId="0" applyNumberFormat="1" applyFont="1" applyFill="1" applyBorder="1" applyAlignment="1">
      <alignment/>
    </xf>
    <xf numFmtId="168" fontId="4" fillId="34" borderId="14" xfId="42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4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12" fillId="0" borderId="21" xfId="0" applyFont="1" applyBorder="1" applyAlignment="1">
      <alignment/>
    </xf>
    <xf numFmtId="165" fontId="12" fillId="0" borderId="21" xfId="59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>
      <alignment/>
    </xf>
    <xf numFmtId="14" fontId="15" fillId="0" borderId="21" xfId="0" applyNumberFormat="1" applyFont="1" applyBorder="1" applyAlignment="1">
      <alignment horizontal="center"/>
    </xf>
    <xf numFmtId="165" fontId="14" fillId="0" borderId="21" xfId="59" applyNumberFormat="1" applyFont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21" xfId="0" applyFont="1" applyBorder="1" applyAlignment="1">
      <alignment wrapText="1"/>
    </xf>
    <xf numFmtId="0" fontId="12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68" fontId="13" fillId="0" borderId="21" xfId="42" applyNumberFormat="1" applyFont="1" applyBorder="1" applyAlignment="1">
      <alignment horizontal="center"/>
    </xf>
    <xf numFmtId="168" fontId="14" fillId="0" borderId="21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0" fontId="6" fillId="0" borderId="0" xfId="59" applyNumberFormat="1" applyFont="1" applyAlignment="1">
      <alignment/>
    </xf>
    <xf numFmtId="0" fontId="17" fillId="0" borderId="0" xfId="0" applyFont="1" applyAlignment="1">
      <alignment/>
    </xf>
    <xf numFmtId="0" fontId="0" fillId="35" borderId="0" xfId="0" applyFill="1" applyAlignment="1">
      <alignment/>
    </xf>
    <xf numFmtId="0" fontId="18" fillId="35" borderId="0" xfId="0" applyFont="1" applyFill="1" applyAlignment="1">
      <alignment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9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33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33" borderId="1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33" borderId="19" xfId="0" applyFont="1" applyFill="1" applyBorder="1" applyAlignment="1">
      <alignment horizontal="right" wrapText="1"/>
    </xf>
    <xf numFmtId="165" fontId="4" fillId="0" borderId="0" xfId="59" applyNumberFormat="1" applyFont="1" applyFill="1" applyBorder="1" applyAlignment="1">
      <alignment horizontal="center"/>
    </xf>
    <xf numFmtId="9" fontId="4" fillId="0" borderId="0" xfId="59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0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34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38" borderId="0" xfId="0" applyFont="1" applyFill="1" applyAlignment="1">
      <alignment/>
    </xf>
    <xf numFmtId="0" fontId="0" fillId="39" borderId="0" xfId="0" applyFill="1" applyAlignment="1">
      <alignment/>
    </xf>
    <xf numFmtId="0" fontId="18" fillId="39" borderId="0" xfId="0" applyFont="1" applyFill="1" applyAlignment="1">
      <alignment/>
    </xf>
    <xf numFmtId="0" fontId="5" fillId="33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4" fillId="36" borderId="0" xfId="0" applyFont="1" applyFill="1" applyAlignment="1">
      <alignment/>
    </xf>
    <xf numFmtId="0" fontId="4" fillId="39" borderId="0" xfId="0" applyFont="1" applyFill="1" applyAlignment="1">
      <alignment/>
    </xf>
    <xf numFmtId="0" fontId="6" fillId="39" borderId="0" xfId="0" applyFont="1" applyFill="1" applyAlignment="1">
      <alignment/>
    </xf>
    <xf numFmtId="0" fontId="4" fillId="33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165" fontId="6" fillId="0" borderId="0" xfId="59" applyNumberFormat="1" applyFont="1" applyAlignment="1">
      <alignment/>
    </xf>
    <xf numFmtId="0" fontId="4" fillId="0" borderId="0" xfId="0" applyFont="1" applyBorder="1" applyAlignment="1">
      <alignment/>
    </xf>
    <xf numFmtId="170" fontId="4" fillId="0" borderId="0" xfId="44" applyNumberFormat="1" applyFont="1" applyBorder="1" applyAlignment="1">
      <alignment/>
    </xf>
    <xf numFmtId="170" fontId="6" fillId="0" borderId="0" xfId="44" applyNumberFormat="1" applyFont="1" applyBorder="1" applyAlignment="1">
      <alignment/>
    </xf>
    <xf numFmtId="9" fontId="4" fillId="0" borderId="0" xfId="59" applyFont="1" applyBorder="1" applyAlignment="1">
      <alignment/>
    </xf>
    <xf numFmtId="168" fontId="4" fillId="0" borderId="0" xfId="0" applyNumberFormat="1" applyFont="1" applyBorder="1" applyAlignment="1">
      <alignment/>
    </xf>
    <xf numFmtId="10" fontId="6" fillId="0" borderId="0" xfId="59" applyNumberFormat="1" applyFont="1" applyBorder="1" applyAlignment="1">
      <alignment/>
    </xf>
    <xf numFmtId="0" fontId="6" fillId="0" borderId="0" xfId="0" applyFont="1" applyBorder="1" applyAlignment="1">
      <alignment/>
    </xf>
    <xf numFmtId="168" fontId="4" fillId="0" borderId="0" xfId="42" applyNumberFormat="1" applyFont="1" applyFill="1" applyBorder="1" applyAlignment="1" applyProtection="1">
      <alignment/>
      <protection/>
    </xf>
    <xf numFmtId="168" fontId="4" fillId="0" borderId="0" xfId="42" applyNumberFormat="1" applyFont="1" applyFill="1" applyBorder="1" applyAlignment="1">
      <alignment/>
    </xf>
    <xf numFmtId="168" fontId="10" fillId="0" borderId="0" xfId="42" applyNumberFormat="1" applyFont="1" applyFill="1" applyBorder="1" applyAlignment="1" applyProtection="1">
      <alignment/>
      <protection/>
    </xf>
    <xf numFmtId="10" fontId="10" fillId="0" borderId="0" xfId="59" applyNumberFormat="1" applyFont="1" applyFill="1" applyBorder="1" applyAlignment="1" applyProtection="1">
      <alignment/>
      <protection/>
    </xf>
    <xf numFmtId="165" fontId="6" fillId="0" borderId="0" xfId="59" applyNumberFormat="1" applyFont="1" applyFill="1" applyBorder="1" applyAlignment="1">
      <alignment/>
    </xf>
    <xf numFmtId="165" fontId="6" fillId="0" borderId="0" xfId="59" applyNumberFormat="1" applyFont="1" applyBorder="1" applyAlignment="1">
      <alignment/>
    </xf>
    <xf numFmtId="0" fontId="8" fillId="0" borderId="0" xfId="0" applyFont="1" applyAlignment="1">
      <alignment/>
    </xf>
    <xf numFmtId="14" fontId="1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10" fontId="6" fillId="0" borderId="0" xfId="0" applyNumberFormat="1" applyFont="1" applyBorder="1" applyAlignment="1">
      <alignment horizontal="center" wrapText="1"/>
    </xf>
    <xf numFmtId="10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168" fontId="6" fillId="0" borderId="0" xfId="42" applyNumberFormat="1" applyFont="1" applyFill="1" applyBorder="1" applyAlignment="1">
      <alignment horizontal="right"/>
    </xf>
    <xf numFmtId="9" fontId="4" fillId="34" borderId="12" xfId="59" applyNumberFormat="1" applyFont="1" applyFill="1" applyBorder="1" applyAlignment="1">
      <alignment horizontal="center"/>
    </xf>
    <xf numFmtId="174" fontId="4" fillId="0" borderId="0" xfId="42" applyNumberFormat="1" applyFont="1" applyBorder="1" applyAlignment="1">
      <alignment horizontal="center" wrapText="1"/>
    </xf>
    <xf numFmtId="175" fontId="4" fillId="33" borderId="16" xfId="42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175" fontId="4" fillId="0" borderId="0" xfId="42" applyNumberFormat="1" applyFont="1" applyFill="1" applyBorder="1" applyAlignment="1">
      <alignment horizontal="center"/>
    </xf>
    <xf numFmtId="44" fontId="6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Bulk &amp; Produce Sales</a:t>
            </a:r>
          </a:p>
        </c:rich>
      </c:tx>
      <c:layout>
        <c:manualLayout>
          <c:xMode val="factor"/>
          <c:yMode val="factor"/>
          <c:x val="0.018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4"/>
          <c:w val="0.941"/>
          <c:h val="0.8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Data!$B$297</c:f>
              <c:strCache>
                <c:ptCount val="1"/>
                <c:pt idx="0">
                  <c:v>Total % of Sales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Data!$H$292:$J$292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Data!$H$297:$J$297</c:f>
              <c:numCache>
                <c:ptCount val="3"/>
                <c:pt idx="0">
                  <c:v>0.2643367399676248</c:v>
                </c:pt>
                <c:pt idx="1">
                  <c:v>0.257219174754785</c:v>
                </c:pt>
                <c:pt idx="2">
                  <c:v>0.25089518210914213</c:v>
                </c:pt>
              </c:numCache>
            </c:numRef>
          </c:val>
        </c:ser>
        <c:axId val="11771137"/>
        <c:axId val="38831370"/>
      </c:bar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370"/>
        <c:crossesAt val="0"/>
        <c:auto val="1"/>
        <c:lblOffset val="100"/>
        <c:tickLblSkip val="1"/>
        <c:noMultiLvlLbl val="0"/>
      </c:catAx>
      <c:valAx>
        <c:axId val="38831370"/>
        <c:scaling>
          <c:orientation val="minMax"/>
          <c:max val="0.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71137"/>
        <c:crossesAt val="1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Sales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"/>
          <c:w val="0.9412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Data!$B$165</c:f>
              <c:strCache>
                <c:ptCount val="1"/>
                <c:pt idx="0">
                  <c:v>Total Sales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Data!$H$165:$J$165</c:f>
              <c:numCache>
                <c:ptCount val="3"/>
                <c:pt idx="0">
                  <c:v>5272555</c:v>
                </c:pt>
                <c:pt idx="1">
                  <c:v>6319455</c:v>
                </c:pt>
                <c:pt idx="2">
                  <c:v>7133744</c:v>
                </c:pt>
              </c:numCache>
            </c:numRef>
          </c:val>
        </c:ser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Net Profit
</a:t>
            </a:r>
          </a:p>
        </c:rich>
      </c:tx>
      <c:layout>
        <c:manualLayout>
          <c:xMode val="factor"/>
          <c:yMode val="factor"/>
          <c:x val="0.017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5275"/>
          <c:w val="0.9435"/>
          <c:h val="0.70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Data!$B$59</c:f>
              <c:strCache>
                <c:ptCount val="1"/>
                <c:pt idx="0">
                  <c:v>Net Income before Patronage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Data!$H$60:$J$60</c:f>
              <c:numCache>
                <c:ptCount val="3"/>
                <c:pt idx="0">
                  <c:v>0.007197459296299422</c:v>
                </c:pt>
                <c:pt idx="1">
                  <c:v>0.01374264078152309</c:v>
                </c:pt>
                <c:pt idx="2">
                  <c:v>0.017758276719770153</c:v>
                </c:pt>
              </c:numCache>
            </c:numRef>
          </c:val>
        </c:ser>
        <c:axId val="45294117"/>
        <c:axId val="4993870"/>
      </c:bar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870"/>
        <c:crossesAt val="0"/>
        <c:auto val="1"/>
        <c:lblOffset val="100"/>
        <c:tickLblSkip val="1"/>
        <c:noMultiLvlLbl val="0"/>
      </c:catAx>
      <c:valAx>
        <c:axId val="4993870"/>
        <c:scaling>
          <c:orientation val="minMax"/>
          <c:max val="0.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117"/>
        <c:crossesAt val="1"/>
        <c:crossBetween val="between"/>
        <c:dispUnits/>
        <c:majorUnit val="0.0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Debt:Equity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6725"/>
          <c:w val="0.93875"/>
          <c:h val="0.797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Data!$B$65</c:f>
              <c:strCache>
                <c:ptCount val="1"/>
                <c:pt idx="0">
                  <c:v>Debt: Equity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Data!$H$65:$J$65</c:f>
              <c:numCache>
                <c:ptCount val="3"/>
                <c:pt idx="0">
                  <c:v>3.6265191661283436</c:v>
                </c:pt>
                <c:pt idx="1">
                  <c:v>3.0095604297491145</c:v>
                </c:pt>
                <c:pt idx="2">
                  <c:v>2.3389113106408534</c:v>
                </c:pt>
              </c:numCache>
            </c:numRef>
          </c:val>
        </c:ser>
        <c:axId val="44944831"/>
        <c:axId val="1850296"/>
      </c:bar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0296"/>
        <c:crosses val="autoZero"/>
        <c:auto val="1"/>
        <c:lblOffset val="100"/>
        <c:tickLblSkip val="1"/>
        <c:noMultiLvlLbl val="0"/>
      </c:catAx>
      <c:valAx>
        <c:axId val="185029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4483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Debt as % of Assets</a:t>
            </a:r>
          </a:p>
        </c:rich>
      </c:tx>
      <c:layout>
        <c:manualLayout>
          <c:xMode val="factor"/>
          <c:yMode val="factor"/>
          <c:x val="0.005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815"/>
          <c:w val="0.9315"/>
          <c:h val="0.77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Data!$B$59</c:f>
              <c:strCache>
                <c:ptCount val="1"/>
                <c:pt idx="0">
                  <c:v>Net Income before Patronage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Data!$H$66:$J$66</c:f>
              <c:numCache>
                <c:ptCount val="3"/>
                <c:pt idx="0">
                  <c:v>0.7838547806477931</c:v>
                </c:pt>
                <c:pt idx="1">
                  <c:v>0.7505961021112302</c:v>
                </c:pt>
                <c:pt idx="2">
                  <c:v>0.7005011792876688</c:v>
                </c:pt>
              </c:numCache>
            </c:numRef>
          </c:val>
        </c:ser>
        <c:axId val="16652665"/>
        <c:axId val="15656258"/>
      </c:bar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6258"/>
        <c:crossesAt val="0"/>
        <c:auto val="1"/>
        <c:lblOffset val="100"/>
        <c:tickLblSkip val="1"/>
        <c:noMultiLvlLbl val="0"/>
      </c:catAx>
      <c:valAx>
        <c:axId val="1565625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52665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Owner Equity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4975"/>
          <c:w val="0.9465"/>
          <c:h val="0.81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Data!$B$58</c:f>
              <c:strCache>
                <c:ptCount val="1"/>
                <c:pt idx="0">
                  <c:v>Total Sales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Data!$H$63:$J$63</c:f>
              <c:numCache>
                <c:ptCount val="3"/>
                <c:pt idx="0">
                  <c:v>730664</c:v>
                </c:pt>
                <c:pt idx="1">
                  <c:v>840025</c:v>
                </c:pt>
                <c:pt idx="2">
                  <c:v>987411.69</c:v>
                </c:pt>
              </c:numCache>
            </c:numRef>
          </c:val>
        </c:ser>
        <c:axId val="6688595"/>
        <c:axId val="60197356"/>
      </c:bar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7356"/>
        <c:crosses val="autoZero"/>
        <c:auto val="1"/>
        <c:lblOffset val="100"/>
        <c:tickLblSkip val="1"/>
        <c:noMultiLvlLbl val="0"/>
      </c:catAx>
      <c:valAx>
        <c:axId val="60197356"/>
        <c:scaling>
          <c:orientation val="minMax"/>
          <c:max val="1000000"/>
          <c:min val="4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8595"/>
        <c:crossesAt val="1"/>
        <c:crossBetween val="between"/>
        <c:dispUnits/>
        <c:majorUnit val="1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Local Reinvestment
 % of Sales</a:t>
            </a:r>
          </a:p>
        </c:rich>
      </c:tx>
      <c:layout>
        <c:manualLayout>
          <c:xMode val="factor"/>
          <c:yMode val="factor"/>
          <c:x val="-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3"/>
          <c:w val="0.94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Data!$B$179</c:f>
              <c:strCache>
                <c:ptCount val="1"/>
                <c:pt idx="0">
                  <c:v>Local Lenders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Data!$G$207:$J$207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Data!$G$185:$J$185</c:f>
              <c:numCache>
                <c:ptCount val="4"/>
                <c:pt idx="0">
                  <c:v>0.6011904714111109</c:v>
                </c:pt>
                <c:pt idx="1">
                  <c:v>0.5220523389514192</c:v>
                </c:pt>
                <c:pt idx="2">
                  <c:v>0.5143625708229587</c:v>
                </c:pt>
                <c:pt idx="3">
                  <c:v>0.522571397829707</c:v>
                </c:pt>
              </c:numCache>
            </c:numRef>
          </c:val>
        </c:ser>
        <c:axId val="4905293"/>
        <c:axId val="44147638"/>
      </c:bar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47638"/>
        <c:crosses val="autoZero"/>
        <c:auto val="1"/>
        <c:lblOffset val="100"/>
        <c:tickLblSkip val="1"/>
        <c:noMultiLvlLbl val="0"/>
      </c:catAx>
      <c:valAx>
        <c:axId val="441476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Farmer &amp; Food Producers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875"/>
          <c:w val="0.942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Data!$B$179</c:f>
              <c:strCache>
                <c:ptCount val="1"/>
                <c:pt idx="0">
                  <c:v>Local Lenders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Data!$G$207:$J$207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Data!$G$219:$J$219</c:f>
              <c:numCache>
                <c:ptCount val="4"/>
                <c:pt idx="0">
                  <c:v>274553.35</c:v>
                </c:pt>
                <c:pt idx="1">
                  <c:v>279642.81</c:v>
                </c:pt>
                <c:pt idx="2">
                  <c:v>500825.05000000005</c:v>
                </c:pt>
                <c:pt idx="3">
                  <c:v>542801.9638392857</c:v>
                </c:pt>
              </c:numCache>
            </c:numRef>
          </c:val>
        </c:ser>
        <c:axId val="61784423"/>
        <c:axId val="19188896"/>
      </c:bar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8896"/>
        <c:crosses val="autoZero"/>
        <c:auto val="1"/>
        <c:lblOffset val="100"/>
        <c:tickLblSkip val="1"/>
        <c:noMultiLvlLbl val="0"/>
      </c:catAx>
      <c:valAx>
        <c:axId val="19188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4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Local Suppliers &amp; Service Providers </a:t>
            </a:r>
          </a:p>
        </c:rich>
      </c:tx>
      <c:layout>
        <c:manualLayout>
          <c:xMode val="factor"/>
          <c:yMode val="factor"/>
          <c:x val="0.1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25775"/>
          <c:w val="0.94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Data!$B$179</c:f>
              <c:strCache>
                <c:ptCount val="1"/>
                <c:pt idx="0">
                  <c:v>Local Lenders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Data!$G$207:$J$207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Data!$G$205:$J$205</c:f>
              <c:numCache>
                <c:ptCount val="4"/>
                <c:pt idx="0">
                  <c:v>1418509.19</c:v>
                </c:pt>
                <c:pt idx="1">
                  <c:v>1350406.51</c:v>
                </c:pt>
                <c:pt idx="2">
                  <c:v>1440133.34</c:v>
                </c:pt>
                <c:pt idx="3">
                  <c:v>1657971.9300000002</c:v>
                </c:pt>
              </c:numCache>
            </c:numRef>
          </c:val>
        </c:ser>
        <c:axId val="38482337"/>
        <c:axId val="10796714"/>
      </c:bar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96714"/>
        <c:crosses val="autoZero"/>
        <c:auto val="1"/>
        <c:lblOffset val="100"/>
        <c:tickLblSkip val="1"/>
        <c:noMultiLvlLbl val="0"/>
      </c:catAx>
      <c:valAx>
        <c:axId val="10796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8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Staff Wages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7775"/>
          <c:w val="0.942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Data!$B$168</c:f>
              <c:strCache>
                <c:ptCount val="1"/>
                <c:pt idx="0">
                  <c:v>Wages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Data!$G$207:$J$207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Data!$G$173:$J$173</c:f>
              <c:numCache>
                <c:ptCount val="4"/>
                <c:pt idx="0">
                  <c:v>877142</c:v>
                </c:pt>
                <c:pt idx="1">
                  <c:v>949900</c:v>
                </c:pt>
                <c:pt idx="2">
                  <c:v>1062803</c:v>
                </c:pt>
                <c:pt idx="3">
                  <c:v>1257767</c:v>
                </c:pt>
              </c:numCache>
            </c:numRef>
          </c:val>
        </c:ser>
        <c:axId val="30061563"/>
        <c:axId val="2118612"/>
      </c:bar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8612"/>
        <c:crosses val="autoZero"/>
        <c:auto val="1"/>
        <c:lblOffset val="100"/>
        <c:tickLblSkip val="1"/>
        <c:noMultiLvlLbl val="0"/>
      </c:catAx>
      <c:valAx>
        <c:axId val="211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61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Discounts &amp; Dividends</a:t>
            </a:r>
          </a:p>
        </c:rich>
      </c:tx>
      <c:layout>
        <c:manualLayout>
          <c:xMode val="factor"/>
          <c:yMode val="factor"/>
          <c:x val="-0.013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7425"/>
          <c:w val="0.927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Data!$B$204</c:f>
              <c:strCache>
                <c:ptCount val="1"/>
                <c:pt idx="0">
                  <c:v>Total Discounts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Data!$H$204:$J$204</c:f>
              <c:numCache>
                <c:ptCount val="3"/>
                <c:pt idx="0">
                  <c:v>116327</c:v>
                </c:pt>
                <c:pt idx="1">
                  <c:v>113651</c:v>
                </c:pt>
                <c:pt idx="2">
                  <c:v>184778.85454445667</c:v>
                </c:pt>
              </c:numCache>
            </c:numRef>
          </c:val>
        </c:ser>
        <c:axId val="19067509"/>
        <c:axId val="37389854"/>
      </c:bar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389854"/>
        <c:crosses val="autoZero"/>
        <c:auto val="1"/>
        <c:lblOffset val="100"/>
        <c:tickLblSkip val="1"/>
        <c:noMultiLvlLbl val="0"/>
      </c:catAx>
      <c:valAx>
        <c:axId val="37389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Landfilled Trash Relative to Sales Volume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745"/>
          <c:w val="0.92875"/>
          <c:h val="0.783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Data!$B$285</c:f>
              <c:strCache>
                <c:ptCount val="1"/>
                <c:pt idx="0">
                  <c:v>Total Landfilled Trash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Data!$H$287:$J$287</c:f>
              <c:numCache>
                <c:ptCount val="3"/>
                <c:pt idx="0">
                  <c:v>0.0293595799379997</c:v>
                </c:pt>
                <c:pt idx="1">
                  <c:v>0.03291423073666954</c:v>
                </c:pt>
                <c:pt idx="2">
                  <c:v>0.02915719992194842</c:v>
                </c:pt>
              </c:numCache>
            </c:numRef>
          </c:val>
        </c:ser>
        <c:axId val="13938011"/>
        <c:axId val="58333236"/>
      </c:bar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3236"/>
        <c:crossesAt val="0"/>
        <c:auto val="1"/>
        <c:lblOffset val="100"/>
        <c:tickLblSkip val="1"/>
        <c:noMultiLvlLbl val="0"/>
      </c:catAx>
      <c:valAx>
        <c:axId val="58333236"/>
        <c:scaling>
          <c:orientation val="minMax"/>
          <c:max val="0.04"/>
          <c:min val="0.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38011"/>
        <c:crossesAt val="1"/>
        <c:crossBetween val="between"/>
        <c:dispUnits/>
        <c:majorUnit val="0.005"/>
        <c:min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Products that are Local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view3D>
      <c:rotX val="6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2145"/>
          <c:y val="0.17575"/>
          <c:w val="0.596"/>
          <c:h val="0.77325"/>
        </c:manualLayout>
      </c:layout>
      <c:pie3DChart>
        <c:varyColors val="1"/>
        <c:ser>
          <c:idx val="1"/>
          <c:order val="0"/>
          <c:tx>
            <c:strRef>
              <c:f>Data!$B$234</c:f>
              <c:strCache>
                <c:ptCount val="1"/>
                <c:pt idx="0">
                  <c:v>Local Items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Local Products:
734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</a:rPr>
                      <a:t>Non-Local Products:
5,588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Data!$B$241:$B$242</c:f>
              <c:strCache>
                <c:ptCount val="2"/>
                <c:pt idx="0">
                  <c:v>Local Products</c:v>
                </c:pt>
                <c:pt idx="1">
                  <c:v>Non-Local Products</c:v>
                </c:pt>
              </c:strCache>
            </c:strRef>
          </c:cat>
          <c:val>
            <c:numRef>
              <c:f>Data!$J$241:$J$242</c:f>
              <c:numCache>
                <c:ptCount val="2"/>
                <c:pt idx="0">
                  <c:v>734</c:v>
                </c:pt>
                <c:pt idx="1">
                  <c:v>5588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Equity in Other Co-ops
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31775"/>
          <c:w val="0.93925"/>
          <c:h val="0.6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Data!$B$251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Data!$H$246:$J$246</c:f>
              <c:numCache>
                <c:ptCount val="3"/>
              </c:numCache>
            </c:numRef>
          </c:cat>
          <c:val>
            <c:numRef>
              <c:f>Data!$H$251:$J$251</c:f>
              <c:numCache>
                <c:ptCount val="3"/>
                <c:pt idx="0">
                  <c:v>63582</c:v>
                </c:pt>
                <c:pt idx="1">
                  <c:v>90004</c:v>
                </c:pt>
                <c:pt idx="2">
                  <c:v>108013.61</c:v>
                </c:pt>
              </c:numCache>
            </c:numRef>
          </c:val>
        </c:ser>
        <c:axId val="964367"/>
        <c:axId val="8679304"/>
      </c:bar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Purchases from Co-op Manufacturers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25675"/>
          <c:w val="0.924"/>
          <c:h val="0.704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Data!$B$229</c:f>
              <c:strCache>
                <c:ptCount val="1"/>
                <c:pt idx="0">
                  <c:v>Purchases to Co-op Mfrs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Data!$I$1:$J$1</c:f>
              <c:numCache>
                <c:ptCount val="2"/>
                <c:pt idx="0">
                  <c:v>2008</c:v>
                </c:pt>
                <c:pt idx="1">
                  <c:v>2009</c:v>
                </c:pt>
              </c:numCache>
            </c:numRef>
          </c:cat>
          <c:val>
            <c:numRef>
              <c:f>Data!$I$229:$J$229</c:f>
              <c:numCache>
                <c:ptCount val="2"/>
                <c:pt idx="0">
                  <c:v>239707.32718600004</c:v>
                </c:pt>
                <c:pt idx="1">
                  <c:v>246337.7402</c:v>
                </c:pt>
              </c:numCache>
            </c:numRef>
          </c:val>
        </c:ser>
        <c:gapWidth val="360"/>
        <c:axId val="11004873"/>
        <c:axId val="31934994"/>
      </c:bar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4873"/>
        <c:crossesAt val="1"/>
        <c:crossBetween val="between"/>
        <c:dispUnits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Member Loans Payable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78"/>
          <c:w val="0.9485"/>
          <c:h val="0.78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Data!$B$255</c:f>
              <c:strCache>
                <c:ptCount val="1"/>
                <c:pt idx="0">
                  <c:v>Member Loans Payable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Data!$H$255:$J$255</c:f>
              <c:numCache>
                <c:ptCount val="3"/>
                <c:pt idx="0">
                  <c:v>543580</c:v>
                </c:pt>
                <c:pt idx="1">
                  <c:v>504080</c:v>
                </c:pt>
                <c:pt idx="2">
                  <c:v>462580</c:v>
                </c:pt>
              </c:numCache>
            </c:numRef>
          </c:val>
        </c:ser>
        <c:axId val="18979491"/>
        <c:axId val="36597692"/>
      </c:bar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79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Equity in NCGA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78"/>
          <c:w val="0.94025"/>
          <c:h val="0.78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Data!$B$251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Data!$H$246:$J$246</c:f>
              <c:numCache>
                <c:ptCount val="3"/>
              </c:numCache>
            </c:numRef>
          </c:cat>
          <c:val>
            <c:numRef>
              <c:f>Data!$H$248:$J$248</c:f>
              <c:numCache>
                <c:ptCount val="3"/>
                <c:pt idx="0">
                  <c:v>24261</c:v>
                </c:pt>
                <c:pt idx="1">
                  <c:v>24262</c:v>
                </c:pt>
                <c:pt idx="2">
                  <c:v>40158.56</c:v>
                </c:pt>
              </c:numCache>
            </c:numRef>
          </c:val>
        </c:ser>
        <c:axId val="60943773"/>
        <c:axId val="11623046"/>
      </c:bar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43773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Deposits with Co-op Banks</a:t>
            </a:r>
          </a:p>
        </c:rich>
      </c:tx>
      <c:layout>
        <c:manualLayout>
          <c:xMode val="factor"/>
          <c:yMode val="factor"/>
          <c:x val="0.0227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"/>
          <c:y val="0.28875"/>
          <c:w val="0.48475"/>
          <c:h val="0.49525"/>
        </c:manualLayout>
      </c:layout>
      <c:pieChart>
        <c:varyColors val="1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Data!$B$258:$B$260</c:f>
              <c:strCache>
                <c:ptCount val="3"/>
                <c:pt idx="0">
                  <c:v>Credit Union</c:v>
                </c:pt>
                <c:pt idx="1">
                  <c:v>HSBC</c:v>
                </c:pt>
                <c:pt idx="2">
                  <c:v>NCB</c:v>
                </c:pt>
              </c:strCache>
            </c:strRef>
          </c:cat>
          <c:val>
            <c:numRef>
              <c:f>Data!$J$258:$J$260</c:f>
              <c:numCache>
                <c:ptCount val="3"/>
                <c:pt idx="0">
                  <c:v>182395.02000000002</c:v>
                </c:pt>
                <c:pt idx="1">
                  <c:v>9120.01</c:v>
                </c:pt>
                <c:pt idx="2">
                  <c:v>176071.96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Loans from Co-op Lenders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"/>
          <c:y val="0.348"/>
          <c:w val="0.53425"/>
          <c:h val="0.48725"/>
        </c:manualLayout>
      </c:layout>
      <c:pieChart>
        <c:varyColors val="1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Data!$B$264:$B$268</c:f>
              <c:strCache>
                <c:ptCount val="5"/>
                <c:pt idx="0">
                  <c:v>NCB</c:v>
                </c:pt>
                <c:pt idx="1">
                  <c:v>NCGA</c:v>
                </c:pt>
                <c:pt idx="2">
                  <c:v>LEAF</c:v>
                </c:pt>
                <c:pt idx="3">
                  <c:v>BERC</c:v>
                </c:pt>
                <c:pt idx="4">
                  <c:v>ECIDA</c:v>
                </c:pt>
              </c:strCache>
            </c:strRef>
          </c:cat>
          <c:val>
            <c:numRef>
              <c:f>Data!$J$264:$J$268</c:f>
              <c:numCache>
                <c:ptCount val="5"/>
                <c:pt idx="0">
                  <c:v>1326215</c:v>
                </c:pt>
                <c:pt idx="1">
                  <c:v>275165</c:v>
                </c:pt>
                <c:pt idx="2">
                  <c:v>72372.51000000001</c:v>
                </c:pt>
                <c:pt idx="3">
                  <c:v>157445.15</c:v>
                </c:pt>
                <c:pt idx="4">
                  <c:v>131316.7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Data!$B$264:$B$268</c:f>
              <c:strCache>
                <c:ptCount val="5"/>
                <c:pt idx="0">
                  <c:v>NCB</c:v>
                </c:pt>
                <c:pt idx="1">
                  <c:v>NCGA</c:v>
                </c:pt>
                <c:pt idx="2">
                  <c:v>LEAF</c:v>
                </c:pt>
                <c:pt idx="3">
                  <c:v>BERC</c:v>
                </c:pt>
                <c:pt idx="4">
                  <c:v>ECIDA</c:v>
                </c:pt>
              </c:strCache>
            </c:strRef>
          </c:cat>
          <c:val>
            <c:numRef>
              <c:f>Data!$J$264:$J$268</c:f>
              <c:numCache>
                <c:ptCount val="5"/>
                <c:pt idx="0">
                  <c:v>1326215</c:v>
                </c:pt>
                <c:pt idx="1">
                  <c:v>275165</c:v>
                </c:pt>
                <c:pt idx="2">
                  <c:v>72372.51000000001</c:v>
                </c:pt>
                <c:pt idx="3">
                  <c:v>157445.15</c:v>
                </c:pt>
                <c:pt idx="4">
                  <c:v>131316.7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 % of Cost of Goods 
from Co-op or Local Suppliers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4425"/>
          <c:w val="0.9417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Data!$I$207:$J$207</c:f>
              <c:numCache>
                <c:ptCount val="2"/>
                <c:pt idx="0">
                  <c:v>2008</c:v>
                </c:pt>
                <c:pt idx="1">
                  <c:v>2009</c:v>
                </c:pt>
              </c:numCache>
            </c:numRef>
          </c:cat>
          <c:val>
            <c:numRef>
              <c:f>Data!$I$232:$J$232</c:f>
              <c:numCache>
                <c:ptCount val="2"/>
                <c:pt idx="0">
                  <c:v>0.15792960080806967</c:v>
                </c:pt>
                <c:pt idx="1">
                  <c:v>0.17486841299649142</c:v>
                </c:pt>
              </c:numCache>
            </c:numRef>
          </c:val>
        </c:ser>
        <c:axId val="37498551"/>
        <c:axId val="1942640"/>
      </c:bar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98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Local Farmers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725"/>
          <c:w val="0.957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Data!$B$179</c:f>
              <c:strCache>
                <c:ptCount val="1"/>
                <c:pt idx="0">
                  <c:v>Local Lenders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Data!$G$207:$J$207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Data!$G$181:$J$181</c:f>
              <c:numCache>
                <c:ptCount val="4"/>
                <c:pt idx="0">
                  <c:v>74107.52</c:v>
                </c:pt>
                <c:pt idx="1">
                  <c:v>88203.48</c:v>
                </c:pt>
                <c:pt idx="2">
                  <c:v>111604.59</c:v>
                </c:pt>
                <c:pt idx="3">
                  <c:v>136587.58</c:v>
                </c:pt>
              </c:numCache>
            </c:numRef>
          </c:val>
        </c:ser>
        <c:axId val="17483761"/>
        <c:axId val="23136122"/>
      </c:bar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3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Pride of Ownership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675"/>
          <c:w val="0.922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Data!$B$44</c:f>
              <c:strCache>
                <c:ptCount val="1"/>
                <c:pt idx="0">
                  <c:v>Pride of Ownership Important</c:v>
                </c:pt>
              </c:strCache>
            </c:strRef>
          </c:cat>
          <c:val>
            <c:numRef>
              <c:f>Data!$C$44</c:f>
            </c:numRef>
          </c:val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Data!$B$44</c:f>
              <c:strCache>
                <c:ptCount val="1"/>
                <c:pt idx="0">
                  <c:v>Pride of Ownership Important</c:v>
                </c:pt>
              </c:strCache>
            </c:strRef>
          </c:cat>
          <c:val>
            <c:numRef>
              <c:f>Data!$E$44</c:f>
            </c:numRef>
          </c:val>
        </c:ser>
        <c:ser>
          <c:idx val="3"/>
          <c:order val="2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Data!$B$44</c:f>
              <c:strCache>
                <c:ptCount val="1"/>
                <c:pt idx="0">
                  <c:v>Pride of Ownership Important</c:v>
                </c:pt>
              </c:strCache>
            </c:strRef>
          </c:cat>
          <c:val>
            <c:numRef>
              <c:f>Data!$F$44</c:f>
            </c:numRef>
          </c:val>
        </c:ser>
        <c:ser>
          <c:idx val="4"/>
          <c:order val="3"/>
          <c:tx>
            <c:strRef>
              <c:f>Data!$B$44</c:f>
              <c:strCache>
                <c:ptCount val="1"/>
                <c:pt idx="0">
                  <c:v>Pride of Ownership Important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Data!$H$1</c:f>
              <c:numCache>
                <c:ptCount val="1"/>
                <c:pt idx="0">
                  <c:v>2007</c:v>
                </c:pt>
              </c:numCache>
            </c:numRef>
          </c:cat>
          <c:val>
            <c:numRef>
              <c:f>Data!$H$44</c:f>
              <c:numCache>
                <c:ptCount val="1"/>
                <c:pt idx="0">
                  <c:v>0.673</c:v>
                </c:pt>
              </c:numCache>
            </c:numRef>
          </c:val>
        </c:ser>
        <c:gapWidth val="470"/>
        <c:axId val="6898507"/>
        <c:axId val="62086564"/>
      </c:bar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898507"/>
        <c:crossesAt val="1"/>
        <c:crossBetween val="between"/>
        <c:dispUnits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Sales Growth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0275"/>
          <c:w val="0.9422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Sales Growth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Data!$H$3:$J$3</c:f>
              <c:numCache>
                <c:ptCount val="3"/>
                <c:pt idx="0">
                  <c:v>0.188</c:v>
                </c:pt>
                <c:pt idx="1">
                  <c:v>0.1986</c:v>
                </c:pt>
                <c:pt idx="2">
                  <c:v>0.129</c:v>
                </c:pt>
              </c:numCache>
            </c:numRef>
          </c:val>
        </c:ser>
        <c:axId val="55237077"/>
        <c:axId val="27371646"/>
      </c:barChart>
      <c:catAx>
        <c:axId val="5523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71646"/>
        <c:crosses val="autoZero"/>
        <c:auto val="1"/>
        <c:lblOffset val="100"/>
        <c:tickLblSkip val="1"/>
        <c:noMultiLvlLbl val="0"/>
      </c:catAx>
      <c:valAx>
        <c:axId val="2737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3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Lextalk Distribution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77"/>
          <c:w val="0.9317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Data!$B$88</c:f>
              <c:strCache>
                <c:ptCount val="1"/>
                <c:pt idx="0">
                  <c:v>Lextalk Distribution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Data!$H$88:$J$88</c:f>
              <c:numCache>
                <c:ptCount val="3"/>
                <c:pt idx="0">
                  <c:v>3661</c:v>
                </c:pt>
                <c:pt idx="1">
                  <c:v>4024</c:v>
                </c:pt>
                <c:pt idx="2">
                  <c:v>4707</c:v>
                </c:pt>
              </c:numCache>
            </c:numRef>
          </c:val>
        </c:ser>
        <c:axId val="21908165"/>
        <c:axId val="62955758"/>
      </c:bar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5758"/>
        <c:crosses val="autoZero"/>
        <c:auto val="1"/>
        <c:lblOffset val="100"/>
        <c:tickLblSkip val="1"/>
        <c:noMultiLvlLbl val="0"/>
      </c:catAx>
      <c:valAx>
        <c:axId val="629557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Gas Usage (in CCFs)</a:t>
            </a:r>
          </a:p>
        </c:rich>
      </c:tx>
      <c:layout>
        <c:manualLayout>
          <c:xMode val="factor"/>
          <c:yMode val="factor"/>
          <c:x val="0.0277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725"/>
          <c:w val="0.939"/>
          <c:h val="0.78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Data!$B$59</c:f>
              <c:strCache>
                <c:ptCount val="1"/>
                <c:pt idx="0">
                  <c:v>Net Income before Patronage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Data!$H$274:$J$274</c:f>
              <c:numCache>
                <c:ptCount val="3"/>
                <c:pt idx="0">
                  <c:v>8085</c:v>
                </c:pt>
                <c:pt idx="1">
                  <c:v>9560</c:v>
                </c:pt>
                <c:pt idx="2">
                  <c:v>11062</c:v>
                </c:pt>
              </c:numCache>
            </c:numRef>
          </c:val>
        </c:ser>
        <c:axId val="29730911"/>
        <c:axId val="66251608"/>
      </c:bar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1608"/>
        <c:crossesAt val="0"/>
        <c:auto val="1"/>
        <c:lblOffset val="100"/>
        <c:tickLblSkip val="1"/>
        <c:noMultiLvlLbl val="0"/>
      </c:catAx>
      <c:valAx>
        <c:axId val="66251608"/>
        <c:scaling>
          <c:orientation val="minMax"/>
          <c:max val="12000"/>
          <c:min val="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At val="1"/>
        <c:crossBetween val="between"/>
        <c:dispUnits/>
        <c:majorUnit val="1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Electric Usage (in KWHs)</a:t>
            </a:r>
          </a:p>
        </c:rich>
      </c:tx>
      <c:layout>
        <c:manualLayout>
          <c:xMode val="factor"/>
          <c:yMode val="factor"/>
          <c:x val="0.03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5325"/>
          <c:w val="0.93525"/>
          <c:h val="0.812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Data!$B$59</c:f>
              <c:strCache>
                <c:ptCount val="1"/>
                <c:pt idx="0">
                  <c:v>Net Income before Patronage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Data!$H$276:$J$276</c:f>
              <c:numCache>
                <c:ptCount val="3"/>
                <c:pt idx="0">
                  <c:v>480496</c:v>
                </c:pt>
                <c:pt idx="1">
                  <c:v>466800</c:v>
                </c:pt>
                <c:pt idx="2">
                  <c:v>461000</c:v>
                </c:pt>
              </c:numCache>
            </c:numRef>
          </c:val>
        </c:ser>
        <c:axId val="59393561"/>
        <c:axId val="64780002"/>
      </c:bar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0002"/>
        <c:crossesAt val="0"/>
        <c:auto val="1"/>
        <c:lblOffset val="100"/>
        <c:tickLblSkip val="1"/>
        <c:noMultiLvlLbl val="0"/>
      </c:catAx>
      <c:valAx>
        <c:axId val="64780002"/>
        <c:scaling>
          <c:orientation val="minMax"/>
          <c:max val="490000"/>
          <c:min val="4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93561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25"/>
          <c:y val="0.34075"/>
          <c:w val="0.6215"/>
          <c:h val="0.5305"/>
        </c:manualLayout>
      </c:layout>
      <c:pie3DChart>
        <c:varyColors val="1"/>
        <c:ser>
          <c:idx val="0"/>
          <c:order val="0"/>
          <c:tx>
            <c:strRef>
              <c:f>'Local Skus'!$A$7</c:f>
              <c:strCache>
                <c:ptCount val="1"/>
                <c:pt idx="0">
                  <c:v>Deli &amp; Bakehouse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Skus'!$C$7:$D$7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195"/>
          <c:w val="0.77325"/>
          <c:h val="0.6515"/>
        </c:manualLayout>
      </c:layout>
      <c:pie3DChart>
        <c:varyColors val="1"/>
        <c:ser>
          <c:idx val="0"/>
          <c:order val="0"/>
          <c:tx>
            <c:strRef>
              <c:f>'Local Skus'!$A$9</c:f>
              <c:strCache>
                <c:ptCount val="1"/>
                <c:pt idx="0">
                  <c:v>Cheese                       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Skus'!$C$9:$D$9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5"/>
          <c:y val="0.237"/>
          <c:w val="0.63025"/>
          <c:h val="0.579"/>
        </c:manualLayout>
      </c:layout>
      <c:pie3DChart>
        <c:varyColors val="1"/>
        <c:ser>
          <c:idx val="0"/>
          <c:order val="0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  <c:ser>
          <c:idx val="1"/>
          <c:order val="1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1945"/>
          <c:w val="0.73625"/>
          <c:h val="0.67175"/>
        </c:manualLayout>
      </c:layout>
      <c:pie3DChart>
        <c:varyColors val="1"/>
        <c:ser>
          <c:idx val="0"/>
          <c:order val="0"/>
          <c:tx>
            <c:strRef>
              <c:f>'Local Skus'!$A$18</c:f>
              <c:strCache>
                <c:ptCount val="1"/>
                <c:pt idx="0">
                  <c:v>Total Perishables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Skus'!$C$18:$D$18</c:f>
              <c:numCache/>
            </c:numRef>
          </c:val>
        </c:ser>
        <c:ser>
          <c:idx val="1"/>
          <c:order val="1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  <c:ser>
          <c:idx val="2"/>
          <c:order val="2"/>
          <c:tx>
            <c:strRef>
              <c:f>'Local Skus'!$A$18</c:f>
              <c:strCache>
                <c:ptCount val="1"/>
                <c:pt idx="0">
                  <c:v>Total Perishables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Skus'!$C$18:$D$18</c:f>
              <c:numCache/>
            </c:numRef>
          </c:val>
        </c:ser>
        <c:ser>
          <c:idx val="3"/>
          <c:order val="3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75"/>
          <c:y val="0.216"/>
          <c:w val="0.7335"/>
          <c:h val="0.60925"/>
        </c:manualLayout>
      </c:layout>
      <c:pie3DChart>
        <c:varyColors val="1"/>
        <c:ser>
          <c:idx val="0"/>
          <c:order val="0"/>
          <c:tx>
            <c:strRef>
              <c:f>'Local Skus'!$A$23</c:f>
              <c:strCache>
                <c:ptCount val="1"/>
                <c:pt idx="0">
                  <c:v>Total Center Store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Skus'!$C$23:$D$23</c:f>
              <c:numCache/>
            </c:numRef>
          </c:val>
        </c:ser>
        <c:ser>
          <c:idx val="1"/>
          <c:order val="1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  <c:ser>
          <c:idx val="2"/>
          <c:order val="2"/>
          <c:tx>
            <c:strRef>
              <c:f>'Local Skus'!$A$18</c:f>
              <c:strCache>
                <c:ptCount val="1"/>
                <c:pt idx="0">
                  <c:v>Total Perishables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Skus'!$C$18:$D$18</c:f>
              <c:numCache/>
            </c:numRef>
          </c:val>
        </c:ser>
        <c:ser>
          <c:idx val="3"/>
          <c:order val="3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25"/>
          <c:y val="0.21"/>
          <c:w val="0.7355"/>
          <c:h val="0.6185"/>
        </c:manualLayout>
      </c:layout>
      <c:pie3DChart>
        <c:varyColors val="1"/>
        <c:ser>
          <c:idx val="0"/>
          <c:order val="0"/>
          <c:tx>
            <c:strRef>
              <c:f>'Local Skus'!$A$28</c:f>
              <c:strCache>
                <c:ptCount val="1"/>
                <c:pt idx="0">
                  <c:v>Total Wellness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Skus'!$C$28:$D$28</c:f>
              <c:numCache/>
            </c:numRef>
          </c:val>
        </c:ser>
        <c:ser>
          <c:idx val="1"/>
          <c:order val="1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  <c:ser>
          <c:idx val="2"/>
          <c:order val="2"/>
          <c:tx>
            <c:strRef>
              <c:f>'Local Skus'!$A$18</c:f>
              <c:strCache>
                <c:ptCount val="1"/>
                <c:pt idx="0">
                  <c:v>Total Perishables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Skus'!$C$18:$D$18</c:f>
              <c:numCache/>
            </c:numRef>
          </c:val>
        </c:ser>
        <c:ser>
          <c:idx val="3"/>
          <c:order val="3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25"/>
          <c:y val="0.17625"/>
          <c:w val="0.73675"/>
          <c:h val="0.672"/>
        </c:manualLayout>
      </c:layout>
      <c:pie3DChart>
        <c:varyColors val="1"/>
        <c:ser>
          <c:idx val="0"/>
          <c:order val="0"/>
          <c:tx>
            <c:strRef>
              <c:f>'Local Skus'!$A$32</c:f>
              <c:strCache>
                <c:ptCount val="1"/>
                <c:pt idx="0">
                  <c:v>Total Produce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Skus'!$C$32:$D$32</c:f>
              <c:numCache/>
            </c:numRef>
          </c:val>
        </c:ser>
        <c:ser>
          <c:idx val="1"/>
          <c:order val="1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  <c:ser>
          <c:idx val="2"/>
          <c:order val="2"/>
          <c:tx>
            <c:strRef>
              <c:f>'Local Skus'!$A$18</c:f>
              <c:strCache>
                <c:ptCount val="1"/>
                <c:pt idx="0">
                  <c:v>Total Perishables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Skus'!$C$18:$D$18</c:f>
              <c:numCache/>
            </c:numRef>
          </c:val>
        </c:ser>
        <c:ser>
          <c:idx val="3"/>
          <c:order val="3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Average Basket, Non-Owners
April-June </a:t>
            </a:r>
          </a:p>
        </c:rich>
      </c:tx>
      <c:layout>
        <c:manualLayout>
          <c:xMode val="factor"/>
          <c:yMode val="factor"/>
          <c:x val="0.02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9775"/>
          <c:w val="0.856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Owners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Data!$H$16:$J$16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Data!$H$18:$J$18</c:f>
              <c:numCache>
                <c:ptCount val="3"/>
                <c:pt idx="0">
                  <c:v>15.158470746670657</c:v>
                </c:pt>
                <c:pt idx="1">
                  <c:v>14.658939618465231</c:v>
                </c:pt>
                <c:pt idx="2">
                  <c:v>12.431951807228916</c:v>
                </c:pt>
              </c:numCache>
            </c:numRef>
          </c:val>
        </c:ser>
        <c:axId val="45018223"/>
        <c:axId val="2510824"/>
      </c:bar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10824"/>
        <c:crossesAt val="0"/>
        <c:auto val="1"/>
        <c:lblOffset val="100"/>
        <c:tickLblSkip val="1"/>
        <c:noMultiLvlLbl val="0"/>
      </c:catAx>
      <c:valAx>
        <c:axId val="2510824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018223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Products that are Local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2355"/>
          <c:w val="0.4855"/>
          <c:h val="0.65625"/>
        </c:manualLayout>
      </c:layout>
      <c:pie3DChart>
        <c:varyColors val="1"/>
        <c:ser>
          <c:idx val="0"/>
          <c:order val="0"/>
          <c:tx>
            <c:strRef>
              <c:f>'Local Skus'!$A$34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Products:
682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Non-Local SKUs:
5,479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Skus'!$C$34:$D$34</c:f>
              <c:numCache/>
            </c:numRef>
          </c:val>
        </c:ser>
        <c:ser>
          <c:idx val="1"/>
          <c:order val="1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  <c:ser>
          <c:idx val="2"/>
          <c:order val="2"/>
          <c:tx>
            <c:strRef>
              <c:f>'Local Skus'!$A$18</c:f>
              <c:strCache>
                <c:ptCount val="1"/>
                <c:pt idx="0">
                  <c:v>Total Perishables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Skus'!$C$18:$D$18</c:f>
              <c:numCache/>
            </c:numRef>
          </c:val>
        </c:ser>
        <c:ser>
          <c:idx val="3"/>
          <c:order val="3"/>
          <c:tx>
            <c:strRef>
              <c:f>'Local Skus'!$A$11</c:f>
              <c:strCache>
                <c:ptCount val="1"/>
                <c:pt idx="0">
                  <c:v>Meat                   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'Local Skus'!$C$3:$D$3</c:f>
              <c:strCache/>
            </c:strRef>
          </c:cat>
          <c:val>
            <c:numRef>
              <c:f>'Local Skus'!$C$11:$D$11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Sales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73"/>
          <c:w val="0.888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Data!$B$165</c:f>
              <c:strCache>
                <c:ptCount val="1"/>
                <c:pt idx="0">
                  <c:v>Total Sales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Data!$G$165:$J$165</c:f>
              <c:numCache>
                <c:ptCount val="4"/>
                <c:pt idx="0">
                  <c:v>4483560</c:v>
                </c:pt>
                <c:pt idx="1">
                  <c:v>5272555</c:v>
                </c:pt>
                <c:pt idx="2">
                  <c:v>6319455</c:v>
                </c:pt>
                <c:pt idx="3">
                  <c:v>7133744</c:v>
                </c:pt>
              </c:numCache>
            </c:numRef>
          </c:val>
        </c:ser>
        <c:axId val="46149107"/>
        <c:axId val="12688780"/>
      </c:bar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688780"/>
        <c:crosses val="autoZero"/>
        <c:auto val="1"/>
        <c:lblOffset val="100"/>
        <c:tickLblSkip val="1"/>
        <c:noMultiLvlLbl val="0"/>
      </c:catAx>
      <c:valAx>
        <c:axId val="12688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4910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5"/>
                <c:y val="0.101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Local Reinvestment
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285"/>
          <c:w val="0.946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Data!$B$179</c:f>
              <c:strCache>
                <c:ptCount val="1"/>
                <c:pt idx="0">
                  <c:v>Local Lenders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Data!$G$207:$J$207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Data!$G$184:$J$184</c:f>
              <c:numCache>
                <c:ptCount val="4"/>
                <c:pt idx="0">
                  <c:v>2695473.5500000003</c:v>
                </c:pt>
                <c:pt idx="1">
                  <c:v>2752549.67</c:v>
                </c:pt>
                <c:pt idx="2">
                  <c:v>3250491.12</c:v>
                </c:pt>
                <c:pt idx="3">
                  <c:v>3727890.5738392854</c:v>
                </c:pt>
              </c:numCache>
            </c:numRef>
          </c:val>
        </c:ser>
        <c:axId val="47090157"/>
        <c:axId val="21158230"/>
      </c:bar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At val="0"/>
        <c:auto val="1"/>
        <c:lblOffset val="100"/>
        <c:tickLblSkip val="1"/>
        <c:noMultiLvlLbl val="0"/>
      </c:catAx>
      <c:valAx>
        <c:axId val="21158230"/>
        <c:scaling>
          <c:orientation val="minMax"/>
          <c:max val="4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0157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Active Lexington Owners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115"/>
          <c:w val="0.888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Data!$B$25:$B$26</c:f>
              <c:numCache>
                <c:ptCount val="2"/>
              </c:numCache>
            </c:numRef>
          </c:cat>
          <c:val>
            <c:numRef>
              <c:f>Data!$H$23:$H$26</c:f>
              <c:numCache>
                <c:ptCount val="4"/>
                <c:pt idx="0">
                  <c:v>2790</c:v>
                </c:pt>
                <c:pt idx="1">
                  <c:v>0.17920540997464074</c:v>
                </c:pt>
              </c:numCache>
            </c:numRef>
          </c:val>
        </c:ser>
        <c:gapWidth val="110"/>
        <c:axId val="56206343"/>
        <c:axId val="36095040"/>
      </c:bar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06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Net Profit
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32"/>
          <c:w val="0.942"/>
          <c:h val="0.7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Data!$B$59</c:f>
              <c:strCache>
                <c:ptCount val="1"/>
                <c:pt idx="0">
                  <c:v>Net Income before Patronage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Data!#REF!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Data!$G$60:$J$60</c:f>
              <c:numCache>
                <c:ptCount val="4"/>
                <c:pt idx="0">
                  <c:v>-0.05362658244787624</c:v>
                </c:pt>
                <c:pt idx="1">
                  <c:v>0.007197459296299422</c:v>
                </c:pt>
                <c:pt idx="2">
                  <c:v>0.01374264078152309</c:v>
                </c:pt>
                <c:pt idx="3">
                  <c:v>0.017758276719770153</c:v>
                </c:pt>
              </c:numCache>
            </c:numRef>
          </c:val>
        </c:ser>
        <c:axId val="56419905"/>
        <c:axId val="38017098"/>
      </c:bar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7098"/>
        <c:crossesAt val="0"/>
        <c:auto val="1"/>
        <c:lblOffset val="100"/>
        <c:tickLblSkip val="1"/>
        <c:noMultiLvlLbl val="0"/>
      </c:catAx>
      <c:valAx>
        <c:axId val="38017098"/>
        <c:scaling>
          <c:orientation val="minMax"/>
          <c:max val="0.03"/>
          <c:min val="-0.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At val="1"/>
        <c:crossBetween val="between"/>
        <c:dispUnits/>
        <c:majorUnit val="0.01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Local Reinvestment
 % of Sales
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9725"/>
          <c:w val="0.9477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Data!$B$179</c:f>
              <c:strCache>
                <c:ptCount val="1"/>
                <c:pt idx="0">
                  <c:v>Local Lenders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Data!$G$207:$J$207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Data!$G$185:$J$185</c:f>
              <c:numCache>
                <c:ptCount val="4"/>
                <c:pt idx="0">
                  <c:v>0.6011904714111109</c:v>
                </c:pt>
                <c:pt idx="1">
                  <c:v>0.5220523389514192</c:v>
                </c:pt>
                <c:pt idx="2">
                  <c:v>0.5143625708229587</c:v>
                </c:pt>
                <c:pt idx="3">
                  <c:v>0.522571397829707</c:v>
                </c:pt>
              </c:numCache>
            </c:numRef>
          </c:val>
        </c:ser>
        <c:axId val="6609563"/>
        <c:axId val="59486068"/>
      </c:bar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068"/>
        <c:crossesAt val="0"/>
        <c:auto val="1"/>
        <c:lblOffset val="100"/>
        <c:tickLblSkip val="1"/>
        <c:noMultiLvlLbl val="0"/>
      </c:catAx>
      <c:valAx>
        <c:axId val="5948606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Purchases from 
Local  Farmer &amp; Food Producers
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295"/>
          <c:w val="0.943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Data!$B$179</c:f>
              <c:strCache>
                <c:ptCount val="1"/>
                <c:pt idx="0">
                  <c:v>Local Lenders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Data!$G$207:$J$207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Data!$G$219:$J$219</c:f>
              <c:numCache>
                <c:ptCount val="4"/>
                <c:pt idx="0">
                  <c:v>274553.35</c:v>
                </c:pt>
                <c:pt idx="1">
                  <c:v>279642.81</c:v>
                </c:pt>
                <c:pt idx="2">
                  <c:v>500825.05000000005</c:v>
                </c:pt>
                <c:pt idx="3">
                  <c:v>542801.9638392857</c:v>
                </c:pt>
              </c:numCache>
            </c:numRef>
          </c:val>
        </c:ser>
        <c:axId val="65612565"/>
        <c:axId val="53642174"/>
      </c:bar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Growth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81"/>
          <c:w val="0.938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Sales Growth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  <c:strCache>
                <c:ptCount val="1"/>
                <c:pt idx="0">
                  <c:v>2006</c:v>
                </c:pt>
              </c:strCache>
            </c:strRef>
          </c:cat>
          <c:val>
            <c:numRef>
              <c:f>Data!$H$3:$H$3</c:f>
              <c:numCache>
                <c:ptCount val="1"/>
                <c:pt idx="0">
                  <c:v>0.188</c:v>
                </c:pt>
              </c:numCache>
            </c:numRef>
          </c:val>
        </c:ser>
        <c:axId val="13017519"/>
        <c:axId val="50048808"/>
      </c:bar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17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Debt to Equity Ratio
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49"/>
          <c:w val="0.93875"/>
          <c:h val="0.70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Data!$B$65</c:f>
              <c:strCache>
                <c:ptCount val="1"/>
                <c:pt idx="0">
                  <c:v>Debt: Equity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Data!#REF!</c:f>
              <c:str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strCache>
            </c:strRef>
          </c:cat>
          <c:val>
            <c:numRef>
              <c:f>Data!$G$65:$J$65</c:f>
              <c:numCache>
                <c:ptCount val="4"/>
                <c:pt idx="0">
                  <c:v>4.475240378216982</c:v>
                </c:pt>
                <c:pt idx="1">
                  <c:v>3.6265191661283436</c:v>
                </c:pt>
                <c:pt idx="2">
                  <c:v>3.0095604297491145</c:v>
                </c:pt>
                <c:pt idx="3">
                  <c:v>2.3389113106408534</c:v>
                </c:pt>
              </c:numCache>
            </c:numRef>
          </c:val>
        </c:ser>
        <c:axId val="47786089"/>
        <c:axId val="27421618"/>
      </c:bar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8608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Local Reinvestment
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3075"/>
          <c:w val="0.958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Data!$B$179</c:f>
              <c:strCache>
                <c:ptCount val="1"/>
                <c:pt idx="0">
                  <c:v>Local Lenders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Data!$G$207:$J$207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Data!$G$184:$J$184</c:f>
              <c:numCache>
                <c:ptCount val="4"/>
                <c:pt idx="0">
                  <c:v>2695473.5500000003</c:v>
                </c:pt>
                <c:pt idx="1">
                  <c:v>2752549.67</c:v>
                </c:pt>
                <c:pt idx="2">
                  <c:v>3250491.12</c:v>
                </c:pt>
                <c:pt idx="3">
                  <c:v>3727890.5738392854</c:v>
                </c:pt>
              </c:numCache>
            </c:numRef>
          </c:val>
        </c:ser>
        <c:axId val="45467971"/>
        <c:axId val="6558556"/>
      </c:bar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  <c:max val="4000000"/>
          <c:min val="25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At val="1"/>
        <c:crossBetween val="between"/>
        <c:dispUnits/>
        <c:majorUnit val="2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Active Lexington Owners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4"/>
          <c:w val="0.906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Data!$B$23</c:f>
              <c:strCache>
                <c:ptCount val="1"/>
                <c:pt idx="0">
                  <c:v>Active Lexington Owners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Data!$H$23:$J$23</c:f>
              <c:numCache>
                <c:ptCount val="3"/>
                <c:pt idx="0">
                  <c:v>2790</c:v>
                </c:pt>
                <c:pt idx="1">
                  <c:v>3440</c:v>
                </c:pt>
                <c:pt idx="2">
                  <c:v>4196</c:v>
                </c:pt>
              </c:numCache>
            </c:numRef>
          </c:val>
        </c:ser>
        <c:gapWidth val="110"/>
        <c:axId val="22597417"/>
        <c:axId val="2050162"/>
      </c:bar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162"/>
        <c:crosses val="autoZero"/>
        <c:auto val="1"/>
        <c:lblOffset val="100"/>
        <c:tickLblSkip val="1"/>
        <c:noMultiLvlLbl val="0"/>
      </c:catAx>
      <c:valAx>
        <c:axId val="2050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7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% Sales to Owners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99"/>
          <c:w val="0.924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Data!$H$34:$J$34</c:f>
              <c:numCache>
                <c:ptCount val="3"/>
                <c:pt idx="0">
                  <c:v>0.524164390688645</c:v>
                </c:pt>
                <c:pt idx="1">
                  <c:v>0.526090120446346</c:v>
                </c:pt>
                <c:pt idx="2">
                  <c:v>0.551</c:v>
                </c:pt>
              </c:numCache>
            </c:numRef>
          </c:val>
        </c:ser>
        <c:axId val="18451459"/>
        <c:axId val="31845404"/>
      </c:bar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45404"/>
        <c:crosses val="autoZero"/>
        <c:auto val="1"/>
        <c:lblOffset val="100"/>
        <c:tickLblSkip val="1"/>
        <c:noMultiLvlLbl val="0"/>
      </c:catAx>
      <c:valAx>
        <c:axId val="3184540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51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Average Basket, Owners
April-June </a:t>
            </a:r>
          </a:p>
        </c:rich>
      </c:tx>
      <c:layout>
        <c:manualLayout>
          <c:xMode val="factor"/>
          <c:yMode val="factor"/>
          <c:x val="0.008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755"/>
          <c:w val="0.917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Owners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Data!$H$16:$J$16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Data!$H$17:$J$17</c:f>
              <c:numCache>
                <c:ptCount val="3"/>
                <c:pt idx="0">
                  <c:v>20.74</c:v>
                </c:pt>
                <c:pt idx="1">
                  <c:v>24.3</c:v>
                </c:pt>
                <c:pt idx="2">
                  <c:v>24.08</c:v>
                </c:pt>
              </c:numCache>
            </c:numRef>
          </c:val>
        </c:ser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340902"/>
        <c:crossesAt val="0"/>
        <c:auto val="1"/>
        <c:lblOffset val="100"/>
        <c:tickLblSkip val="1"/>
        <c:noMultiLvlLbl val="0"/>
      </c:catAx>
      <c:valAx>
        <c:axId val="2934090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173181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Annual Meeting Attendance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5775"/>
          <c:w val="0.9347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Annual Meeting Attendance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Data!$H$48:$J$48</c:f>
              <c:numCache>
                <c:ptCount val="3"/>
                <c:pt idx="0">
                  <c:v>62</c:v>
                </c:pt>
                <c:pt idx="1">
                  <c:v>98</c:v>
                </c:pt>
                <c:pt idx="2">
                  <c:v>81</c:v>
                </c:pt>
              </c:numCache>
            </c:numRef>
          </c:val>
        </c:ser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41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425"/>
          <c:y val="0.19125"/>
          <c:w val="0.931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Data!$B$46</c:f>
              <c:strCache>
                <c:ptCount val="1"/>
                <c:pt idx="0">
                  <c:v>Voting in Lexington Elections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Data!$H$1:$J$1</c:f>
              <c:numCach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Data!$H$46:$J$46</c:f>
              <c:numCache>
                <c:ptCount val="3"/>
                <c:pt idx="0">
                  <c:v>162</c:v>
                </c:pt>
                <c:pt idx="1">
                  <c:v>431</c:v>
                </c:pt>
                <c:pt idx="2">
                  <c:v>520</c:v>
                </c:pt>
              </c:numCache>
            </c:numRef>
          </c:val>
        </c:ser>
        <c:axId val="48898897"/>
        <c:axId val="37436890"/>
      </c:bar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6890"/>
        <c:crosses val="autoZero"/>
        <c:auto val="1"/>
        <c:lblOffset val="100"/>
        <c:tickLblSkip val="1"/>
        <c:noMultiLvlLbl val="0"/>
      </c:catAx>
      <c:valAx>
        <c:axId val="37436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8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287</xdr:row>
      <xdr:rowOff>28575</xdr:rowOff>
    </xdr:from>
    <xdr:to>
      <xdr:col>8</xdr:col>
      <xdr:colOff>295275</xdr:colOff>
      <xdr:row>300</xdr:row>
      <xdr:rowOff>0</xdr:rowOff>
    </xdr:to>
    <xdr:graphicFrame>
      <xdr:nvGraphicFramePr>
        <xdr:cNvPr id="1" name="Chart 1025"/>
        <xdr:cNvGraphicFramePr/>
      </xdr:nvGraphicFramePr>
      <xdr:xfrm>
        <a:off x="3019425" y="46872525"/>
        <a:ext cx="21526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286</xdr:row>
      <xdr:rowOff>152400</xdr:rowOff>
    </xdr:from>
    <xdr:to>
      <xdr:col>4</xdr:col>
      <xdr:colOff>76200</xdr:colOff>
      <xdr:row>300</xdr:row>
      <xdr:rowOff>19050</xdr:rowOff>
    </xdr:to>
    <xdr:graphicFrame>
      <xdr:nvGraphicFramePr>
        <xdr:cNvPr id="2" name="Chart 1026"/>
        <xdr:cNvGraphicFramePr/>
      </xdr:nvGraphicFramePr>
      <xdr:xfrm>
        <a:off x="38100" y="46834425"/>
        <a:ext cx="2476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76200</xdr:rowOff>
    </xdr:from>
    <xdr:to>
      <xdr:col>5</xdr:col>
      <xdr:colOff>447675</xdr:colOff>
      <xdr:row>15</xdr:row>
      <xdr:rowOff>9525</xdr:rowOff>
    </xdr:to>
    <xdr:graphicFrame>
      <xdr:nvGraphicFramePr>
        <xdr:cNvPr id="3" name="Chart 1027"/>
        <xdr:cNvGraphicFramePr/>
      </xdr:nvGraphicFramePr>
      <xdr:xfrm>
        <a:off x="114300" y="333375"/>
        <a:ext cx="33813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15</xdr:row>
      <xdr:rowOff>104775</xdr:rowOff>
    </xdr:from>
    <xdr:to>
      <xdr:col>4</xdr:col>
      <xdr:colOff>333375</xdr:colOff>
      <xdr:row>27</xdr:row>
      <xdr:rowOff>28575</xdr:rowOff>
    </xdr:to>
    <xdr:graphicFrame>
      <xdr:nvGraphicFramePr>
        <xdr:cNvPr id="4" name="Chart 1028"/>
        <xdr:cNvGraphicFramePr/>
      </xdr:nvGraphicFramePr>
      <xdr:xfrm>
        <a:off x="161925" y="2628900"/>
        <a:ext cx="260985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114300</xdr:rowOff>
    </xdr:from>
    <xdr:to>
      <xdr:col>4</xdr:col>
      <xdr:colOff>323850</xdr:colOff>
      <xdr:row>42</xdr:row>
      <xdr:rowOff>38100</xdr:rowOff>
    </xdr:to>
    <xdr:graphicFrame>
      <xdr:nvGraphicFramePr>
        <xdr:cNvPr id="5" name="Chart 1029"/>
        <xdr:cNvGraphicFramePr/>
      </xdr:nvGraphicFramePr>
      <xdr:xfrm>
        <a:off x="0" y="4581525"/>
        <a:ext cx="276225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514350</xdr:colOff>
      <xdr:row>28</xdr:row>
      <xdr:rowOff>28575</xdr:rowOff>
    </xdr:from>
    <xdr:to>
      <xdr:col>9</xdr:col>
      <xdr:colOff>66675</xdr:colOff>
      <xdr:row>42</xdr:row>
      <xdr:rowOff>0</xdr:rowOff>
    </xdr:to>
    <xdr:graphicFrame>
      <xdr:nvGraphicFramePr>
        <xdr:cNvPr id="6" name="Chart 1030"/>
        <xdr:cNvGraphicFramePr/>
      </xdr:nvGraphicFramePr>
      <xdr:xfrm>
        <a:off x="2952750" y="4657725"/>
        <a:ext cx="260032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514350</xdr:colOff>
      <xdr:row>15</xdr:row>
      <xdr:rowOff>114300</xdr:rowOff>
    </xdr:from>
    <xdr:to>
      <xdr:col>8</xdr:col>
      <xdr:colOff>466725</xdr:colOff>
      <xdr:row>27</xdr:row>
      <xdr:rowOff>28575</xdr:rowOff>
    </xdr:to>
    <xdr:graphicFrame>
      <xdr:nvGraphicFramePr>
        <xdr:cNvPr id="7" name="Chart 1031"/>
        <xdr:cNvGraphicFramePr/>
      </xdr:nvGraphicFramePr>
      <xdr:xfrm>
        <a:off x="2952750" y="2638425"/>
        <a:ext cx="23907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44</xdr:row>
      <xdr:rowOff>19050</xdr:rowOff>
    </xdr:from>
    <xdr:to>
      <xdr:col>4</xdr:col>
      <xdr:colOff>590550</xdr:colOff>
      <xdr:row>62</xdr:row>
      <xdr:rowOff>28575</xdr:rowOff>
    </xdr:to>
    <xdr:graphicFrame>
      <xdr:nvGraphicFramePr>
        <xdr:cNvPr id="8" name="Chart 1032"/>
        <xdr:cNvGraphicFramePr/>
      </xdr:nvGraphicFramePr>
      <xdr:xfrm>
        <a:off x="28575" y="7239000"/>
        <a:ext cx="3000375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44</xdr:row>
      <xdr:rowOff>0</xdr:rowOff>
    </xdr:from>
    <xdr:to>
      <xdr:col>10</xdr:col>
      <xdr:colOff>495300</xdr:colOff>
      <xdr:row>62</xdr:row>
      <xdr:rowOff>19050</xdr:rowOff>
    </xdr:to>
    <xdr:graphicFrame>
      <xdr:nvGraphicFramePr>
        <xdr:cNvPr id="9" name="Chart 1033"/>
        <xdr:cNvGraphicFramePr/>
      </xdr:nvGraphicFramePr>
      <xdr:xfrm>
        <a:off x="3286125" y="7219950"/>
        <a:ext cx="3305175" cy="2933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62</xdr:row>
      <xdr:rowOff>152400</xdr:rowOff>
    </xdr:from>
    <xdr:to>
      <xdr:col>5</xdr:col>
      <xdr:colOff>390525</xdr:colOff>
      <xdr:row>78</xdr:row>
      <xdr:rowOff>66675</xdr:rowOff>
    </xdr:to>
    <xdr:graphicFrame>
      <xdr:nvGraphicFramePr>
        <xdr:cNvPr id="10" name="Chart 1034"/>
        <xdr:cNvGraphicFramePr/>
      </xdr:nvGraphicFramePr>
      <xdr:xfrm>
        <a:off x="104775" y="10287000"/>
        <a:ext cx="3333750" cy="250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571500</xdr:colOff>
      <xdr:row>62</xdr:row>
      <xdr:rowOff>152400</xdr:rowOff>
    </xdr:from>
    <xdr:to>
      <xdr:col>11</xdr:col>
      <xdr:colOff>371475</xdr:colOff>
      <xdr:row>79</xdr:row>
      <xdr:rowOff>9525</xdr:rowOff>
    </xdr:to>
    <xdr:graphicFrame>
      <xdr:nvGraphicFramePr>
        <xdr:cNvPr id="11" name="Chart 1035"/>
        <xdr:cNvGraphicFramePr/>
      </xdr:nvGraphicFramePr>
      <xdr:xfrm>
        <a:off x="3619500" y="10287000"/>
        <a:ext cx="3457575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114300</xdr:colOff>
      <xdr:row>79</xdr:row>
      <xdr:rowOff>66675</xdr:rowOff>
    </xdr:from>
    <xdr:to>
      <xdr:col>5</xdr:col>
      <xdr:colOff>257175</xdr:colOff>
      <xdr:row>96</xdr:row>
      <xdr:rowOff>76200</xdr:rowOff>
    </xdr:to>
    <xdr:graphicFrame>
      <xdr:nvGraphicFramePr>
        <xdr:cNvPr id="12" name="Chart 1036"/>
        <xdr:cNvGraphicFramePr/>
      </xdr:nvGraphicFramePr>
      <xdr:xfrm>
        <a:off x="114300" y="12954000"/>
        <a:ext cx="3190875" cy="2762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581025</xdr:colOff>
      <xdr:row>79</xdr:row>
      <xdr:rowOff>114300</xdr:rowOff>
    </xdr:from>
    <xdr:to>
      <xdr:col>11</xdr:col>
      <xdr:colOff>352425</xdr:colOff>
      <xdr:row>97</xdr:row>
      <xdr:rowOff>123825</xdr:rowOff>
    </xdr:to>
    <xdr:graphicFrame>
      <xdr:nvGraphicFramePr>
        <xdr:cNvPr id="13" name="Chart 1037"/>
        <xdr:cNvGraphicFramePr/>
      </xdr:nvGraphicFramePr>
      <xdr:xfrm>
        <a:off x="3629025" y="13001625"/>
        <a:ext cx="3429000" cy="2924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123825</xdr:colOff>
      <xdr:row>97</xdr:row>
      <xdr:rowOff>19050</xdr:rowOff>
    </xdr:from>
    <xdr:to>
      <xdr:col>6</xdr:col>
      <xdr:colOff>104775</xdr:colOff>
      <xdr:row>116</xdr:row>
      <xdr:rowOff>142875</xdr:rowOff>
    </xdr:to>
    <xdr:graphicFrame>
      <xdr:nvGraphicFramePr>
        <xdr:cNvPr id="14" name="Chart 1038"/>
        <xdr:cNvGraphicFramePr/>
      </xdr:nvGraphicFramePr>
      <xdr:xfrm>
        <a:off x="123825" y="15821025"/>
        <a:ext cx="3638550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85725</xdr:colOff>
      <xdr:row>159</xdr:row>
      <xdr:rowOff>104775</xdr:rowOff>
    </xdr:from>
    <xdr:to>
      <xdr:col>5</xdr:col>
      <xdr:colOff>581025</xdr:colOff>
      <xdr:row>175</xdr:row>
      <xdr:rowOff>85725</xdr:rowOff>
    </xdr:to>
    <xdr:graphicFrame>
      <xdr:nvGraphicFramePr>
        <xdr:cNvPr id="15" name="Chart 1039"/>
        <xdr:cNvGraphicFramePr/>
      </xdr:nvGraphicFramePr>
      <xdr:xfrm>
        <a:off x="85725" y="26136600"/>
        <a:ext cx="3543300" cy="2571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266700</xdr:colOff>
      <xdr:row>159</xdr:row>
      <xdr:rowOff>123825</xdr:rowOff>
    </xdr:from>
    <xdr:to>
      <xdr:col>12</xdr:col>
      <xdr:colOff>28575</xdr:colOff>
      <xdr:row>175</xdr:row>
      <xdr:rowOff>123825</xdr:rowOff>
    </xdr:to>
    <xdr:graphicFrame>
      <xdr:nvGraphicFramePr>
        <xdr:cNvPr id="16" name="Chart 1040"/>
        <xdr:cNvGraphicFramePr/>
      </xdr:nvGraphicFramePr>
      <xdr:xfrm>
        <a:off x="3924300" y="26155650"/>
        <a:ext cx="3419475" cy="2590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57150</xdr:colOff>
      <xdr:row>176</xdr:row>
      <xdr:rowOff>0</xdr:rowOff>
    </xdr:from>
    <xdr:to>
      <xdr:col>5</xdr:col>
      <xdr:colOff>552450</xdr:colOff>
      <xdr:row>191</xdr:row>
      <xdr:rowOff>95250</xdr:rowOff>
    </xdr:to>
    <xdr:graphicFrame>
      <xdr:nvGraphicFramePr>
        <xdr:cNvPr id="17" name="Chart 1041"/>
        <xdr:cNvGraphicFramePr/>
      </xdr:nvGraphicFramePr>
      <xdr:xfrm>
        <a:off x="57150" y="28784550"/>
        <a:ext cx="3543300" cy="2524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285750</xdr:colOff>
      <xdr:row>176</xdr:row>
      <xdr:rowOff>57150</xdr:rowOff>
    </xdr:from>
    <xdr:to>
      <xdr:col>12</xdr:col>
      <xdr:colOff>28575</xdr:colOff>
      <xdr:row>191</xdr:row>
      <xdr:rowOff>123825</xdr:rowOff>
    </xdr:to>
    <xdr:graphicFrame>
      <xdr:nvGraphicFramePr>
        <xdr:cNvPr id="18" name="Chart 1042"/>
        <xdr:cNvGraphicFramePr/>
      </xdr:nvGraphicFramePr>
      <xdr:xfrm>
        <a:off x="3943350" y="28841700"/>
        <a:ext cx="3400425" cy="2495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504825</xdr:colOff>
      <xdr:row>192</xdr:row>
      <xdr:rowOff>152400</xdr:rowOff>
    </xdr:from>
    <xdr:to>
      <xdr:col>5</xdr:col>
      <xdr:colOff>400050</xdr:colOff>
      <xdr:row>212</xdr:row>
      <xdr:rowOff>133350</xdr:rowOff>
    </xdr:to>
    <xdr:graphicFrame>
      <xdr:nvGraphicFramePr>
        <xdr:cNvPr id="19" name="Chart 1043"/>
        <xdr:cNvGraphicFramePr/>
      </xdr:nvGraphicFramePr>
      <xdr:xfrm>
        <a:off x="504825" y="31527750"/>
        <a:ext cx="2943225" cy="3219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409575</xdr:colOff>
      <xdr:row>193</xdr:row>
      <xdr:rowOff>76200</xdr:rowOff>
    </xdr:from>
    <xdr:to>
      <xdr:col>12</xdr:col>
      <xdr:colOff>209550</xdr:colOff>
      <xdr:row>209</xdr:row>
      <xdr:rowOff>9525</xdr:rowOff>
    </xdr:to>
    <xdr:graphicFrame>
      <xdr:nvGraphicFramePr>
        <xdr:cNvPr id="20" name="Chart 1044"/>
        <xdr:cNvGraphicFramePr/>
      </xdr:nvGraphicFramePr>
      <xdr:xfrm>
        <a:off x="4067175" y="31613475"/>
        <a:ext cx="3457575" cy="25241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66675</xdr:colOff>
      <xdr:row>215</xdr:row>
      <xdr:rowOff>152400</xdr:rowOff>
    </xdr:from>
    <xdr:to>
      <xdr:col>5</xdr:col>
      <xdr:colOff>238125</xdr:colOff>
      <xdr:row>230</xdr:row>
      <xdr:rowOff>57150</xdr:rowOff>
    </xdr:to>
    <xdr:graphicFrame>
      <xdr:nvGraphicFramePr>
        <xdr:cNvPr id="21" name="Chart 1045"/>
        <xdr:cNvGraphicFramePr/>
      </xdr:nvGraphicFramePr>
      <xdr:xfrm>
        <a:off x="66675" y="35252025"/>
        <a:ext cx="3219450" cy="2333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276225</xdr:colOff>
      <xdr:row>214</xdr:row>
      <xdr:rowOff>66675</xdr:rowOff>
    </xdr:from>
    <xdr:to>
      <xdr:col>10</xdr:col>
      <xdr:colOff>428625</xdr:colOff>
      <xdr:row>230</xdr:row>
      <xdr:rowOff>9525</xdr:rowOff>
    </xdr:to>
    <xdr:graphicFrame>
      <xdr:nvGraphicFramePr>
        <xdr:cNvPr id="22" name="Chart 1046"/>
        <xdr:cNvGraphicFramePr/>
      </xdr:nvGraphicFramePr>
      <xdr:xfrm>
        <a:off x="3933825" y="35004375"/>
        <a:ext cx="2590800" cy="25336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 fLocksWithSheet="0" fPrintsWithSheet="0"/>
  </xdr:twoCellAnchor>
  <xdr:twoCellAnchor>
    <xdr:from>
      <xdr:col>0</xdr:col>
      <xdr:colOff>66675</xdr:colOff>
      <xdr:row>230</xdr:row>
      <xdr:rowOff>142875</xdr:rowOff>
    </xdr:from>
    <xdr:to>
      <xdr:col>6</xdr:col>
      <xdr:colOff>190500</xdr:colOff>
      <xdr:row>246</xdr:row>
      <xdr:rowOff>152400</xdr:rowOff>
    </xdr:to>
    <xdr:graphicFrame>
      <xdr:nvGraphicFramePr>
        <xdr:cNvPr id="23" name="Chart 1047"/>
        <xdr:cNvGraphicFramePr/>
      </xdr:nvGraphicFramePr>
      <xdr:xfrm>
        <a:off x="66675" y="37671375"/>
        <a:ext cx="3781425" cy="2600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</xdr:col>
      <xdr:colOff>466725</xdr:colOff>
      <xdr:row>231</xdr:row>
      <xdr:rowOff>28575</xdr:rowOff>
    </xdr:from>
    <xdr:to>
      <xdr:col>12</xdr:col>
      <xdr:colOff>85725</xdr:colOff>
      <xdr:row>247</xdr:row>
      <xdr:rowOff>38100</xdr:rowOff>
    </xdr:to>
    <xdr:graphicFrame>
      <xdr:nvGraphicFramePr>
        <xdr:cNvPr id="24" name="Chart 1048"/>
        <xdr:cNvGraphicFramePr/>
      </xdr:nvGraphicFramePr>
      <xdr:xfrm>
        <a:off x="4124325" y="37719000"/>
        <a:ext cx="3276600" cy="2600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200025</xdr:colOff>
      <xdr:row>248</xdr:row>
      <xdr:rowOff>9525</xdr:rowOff>
    </xdr:from>
    <xdr:to>
      <xdr:col>5</xdr:col>
      <xdr:colOff>161925</xdr:colOff>
      <xdr:row>266</xdr:row>
      <xdr:rowOff>47625</xdr:rowOff>
    </xdr:to>
    <xdr:graphicFrame>
      <xdr:nvGraphicFramePr>
        <xdr:cNvPr id="25" name="Chart 1049"/>
        <xdr:cNvGraphicFramePr/>
      </xdr:nvGraphicFramePr>
      <xdr:xfrm>
        <a:off x="200025" y="40452675"/>
        <a:ext cx="3009900" cy="2952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266700</xdr:colOff>
      <xdr:row>248</xdr:row>
      <xdr:rowOff>28575</xdr:rowOff>
    </xdr:from>
    <xdr:to>
      <xdr:col>11</xdr:col>
      <xdr:colOff>47625</xdr:colOff>
      <xdr:row>267</xdr:row>
      <xdr:rowOff>47625</xdr:rowOff>
    </xdr:to>
    <xdr:graphicFrame>
      <xdr:nvGraphicFramePr>
        <xdr:cNvPr id="26" name="Chart 1050"/>
        <xdr:cNvGraphicFramePr/>
      </xdr:nvGraphicFramePr>
      <xdr:xfrm>
        <a:off x="3924300" y="40471725"/>
        <a:ext cx="2828925" cy="3095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161925</xdr:colOff>
      <xdr:row>267</xdr:row>
      <xdr:rowOff>95250</xdr:rowOff>
    </xdr:from>
    <xdr:to>
      <xdr:col>5</xdr:col>
      <xdr:colOff>476250</xdr:colOff>
      <xdr:row>283</xdr:row>
      <xdr:rowOff>85725</xdr:rowOff>
    </xdr:to>
    <xdr:graphicFrame>
      <xdr:nvGraphicFramePr>
        <xdr:cNvPr id="27" name="Chart 1051"/>
        <xdr:cNvGraphicFramePr/>
      </xdr:nvGraphicFramePr>
      <xdr:xfrm>
        <a:off x="161925" y="43614975"/>
        <a:ext cx="3362325" cy="25812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14</xdr:col>
      <xdr:colOff>247650</xdr:colOff>
      <xdr:row>268</xdr:row>
      <xdr:rowOff>104775</xdr:rowOff>
    </xdr:from>
    <xdr:to>
      <xdr:col>21</xdr:col>
      <xdr:colOff>581025</xdr:colOff>
      <xdr:row>284</xdr:row>
      <xdr:rowOff>47625</xdr:rowOff>
    </xdr:to>
    <xdr:graphicFrame>
      <xdr:nvGraphicFramePr>
        <xdr:cNvPr id="28" name="Chart 1052"/>
        <xdr:cNvGraphicFramePr/>
      </xdr:nvGraphicFramePr>
      <xdr:xfrm>
        <a:off x="8782050" y="43786425"/>
        <a:ext cx="4600575" cy="25336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</xdr:col>
      <xdr:colOff>523875</xdr:colOff>
      <xdr:row>101</xdr:row>
      <xdr:rowOff>28575</xdr:rowOff>
    </xdr:from>
    <xdr:to>
      <xdr:col>11</xdr:col>
      <xdr:colOff>9525</xdr:colOff>
      <xdr:row>114</xdr:row>
      <xdr:rowOff>123825</xdr:rowOff>
    </xdr:to>
    <xdr:graphicFrame>
      <xdr:nvGraphicFramePr>
        <xdr:cNvPr id="29" name="Chart 1053"/>
        <xdr:cNvGraphicFramePr/>
      </xdr:nvGraphicFramePr>
      <xdr:xfrm>
        <a:off x="4181475" y="16478250"/>
        <a:ext cx="2533650" cy="22002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114300</xdr:colOff>
      <xdr:row>118</xdr:row>
      <xdr:rowOff>104775</xdr:rowOff>
    </xdr:from>
    <xdr:to>
      <xdr:col>4</xdr:col>
      <xdr:colOff>552450</xdr:colOff>
      <xdr:row>134</xdr:row>
      <xdr:rowOff>76200</xdr:rowOff>
    </xdr:to>
    <xdr:graphicFrame>
      <xdr:nvGraphicFramePr>
        <xdr:cNvPr id="30" name="Chart 1054"/>
        <xdr:cNvGraphicFramePr/>
      </xdr:nvGraphicFramePr>
      <xdr:xfrm>
        <a:off x="114300" y="19402425"/>
        <a:ext cx="2876550" cy="25622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152400</xdr:colOff>
      <xdr:row>301</xdr:row>
      <xdr:rowOff>85725</xdr:rowOff>
    </xdr:from>
    <xdr:to>
      <xdr:col>4</xdr:col>
      <xdr:colOff>542925</xdr:colOff>
      <xdr:row>315</xdr:row>
      <xdr:rowOff>114300</xdr:rowOff>
    </xdr:to>
    <xdr:graphicFrame>
      <xdr:nvGraphicFramePr>
        <xdr:cNvPr id="31" name="Chart 1055"/>
        <xdr:cNvGraphicFramePr/>
      </xdr:nvGraphicFramePr>
      <xdr:xfrm>
        <a:off x="152400" y="49196625"/>
        <a:ext cx="2828925" cy="22955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171450</xdr:colOff>
      <xdr:row>301</xdr:row>
      <xdr:rowOff>152400</xdr:rowOff>
    </xdr:from>
    <xdr:to>
      <xdr:col>9</xdr:col>
      <xdr:colOff>171450</xdr:colOff>
      <xdr:row>316</xdr:row>
      <xdr:rowOff>28575</xdr:rowOff>
    </xdr:to>
    <xdr:graphicFrame>
      <xdr:nvGraphicFramePr>
        <xdr:cNvPr id="32" name="Chart 1056"/>
        <xdr:cNvGraphicFramePr/>
      </xdr:nvGraphicFramePr>
      <xdr:xfrm>
        <a:off x="3219450" y="49263300"/>
        <a:ext cx="2438400" cy="23050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41</xdr:row>
      <xdr:rowOff>19050</xdr:rowOff>
    </xdr:from>
    <xdr:to>
      <xdr:col>5</xdr:col>
      <xdr:colOff>809625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3543300" y="8391525"/>
        <a:ext cx="31813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790575</xdr:colOff>
      <xdr:row>63</xdr:row>
      <xdr:rowOff>114300</xdr:rowOff>
    </xdr:from>
    <xdr:to>
      <xdr:col>5</xdr:col>
      <xdr:colOff>809625</xdr:colOff>
      <xdr:row>85</xdr:row>
      <xdr:rowOff>57150</xdr:rowOff>
    </xdr:to>
    <xdr:graphicFrame>
      <xdr:nvGraphicFramePr>
        <xdr:cNvPr id="2" name="Chart 2"/>
        <xdr:cNvGraphicFramePr/>
      </xdr:nvGraphicFramePr>
      <xdr:xfrm>
        <a:off x="3571875" y="12049125"/>
        <a:ext cx="31527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61</xdr:row>
      <xdr:rowOff>0</xdr:rowOff>
    </xdr:from>
    <xdr:to>
      <xdr:col>2</xdr:col>
      <xdr:colOff>704850</xdr:colOff>
      <xdr:row>82</xdr:row>
      <xdr:rowOff>104775</xdr:rowOff>
    </xdr:to>
    <xdr:graphicFrame>
      <xdr:nvGraphicFramePr>
        <xdr:cNvPr id="3" name="Chart 3"/>
        <xdr:cNvGraphicFramePr/>
      </xdr:nvGraphicFramePr>
      <xdr:xfrm>
        <a:off x="47625" y="11610975"/>
        <a:ext cx="343852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2</xdr:col>
      <xdr:colOff>628650</xdr:colOff>
      <xdr:row>132</xdr:row>
      <xdr:rowOff>133350</xdr:rowOff>
    </xdr:to>
    <xdr:graphicFrame>
      <xdr:nvGraphicFramePr>
        <xdr:cNvPr id="4" name="Chart 4"/>
        <xdr:cNvGraphicFramePr/>
      </xdr:nvGraphicFramePr>
      <xdr:xfrm>
        <a:off x="0" y="19726275"/>
        <a:ext cx="340995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790575</xdr:colOff>
      <xdr:row>91</xdr:row>
      <xdr:rowOff>123825</xdr:rowOff>
    </xdr:from>
    <xdr:to>
      <xdr:col>5</xdr:col>
      <xdr:colOff>781050</xdr:colOff>
      <xdr:row>113</xdr:row>
      <xdr:rowOff>85725</xdr:rowOff>
    </xdr:to>
    <xdr:graphicFrame>
      <xdr:nvGraphicFramePr>
        <xdr:cNvPr id="5" name="Chart 5"/>
        <xdr:cNvGraphicFramePr/>
      </xdr:nvGraphicFramePr>
      <xdr:xfrm>
        <a:off x="3571875" y="16592550"/>
        <a:ext cx="312420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781050</xdr:colOff>
      <xdr:row>114</xdr:row>
      <xdr:rowOff>142875</xdr:rowOff>
    </xdr:from>
    <xdr:to>
      <xdr:col>5</xdr:col>
      <xdr:colOff>828675</xdr:colOff>
      <xdr:row>136</xdr:row>
      <xdr:rowOff>114300</xdr:rowOff>
    </xdr:to>
    <xdr:graphicFrame>
      <xdr:nvGraphicFramePr>
        <xdr:cNvPr id="6" name="Chart 6"/>
        <xdr:cNvGraphicFramePr/>
      </xdr:nvGraphicFramePr>
      <xdr:xfrm>
        <a:off x="3562350" y="20335875"/>
        <a:ext cx="3181350" cy="3533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86</xdr:row>
      <xdr:rowOff>95250</xdr:rowOff>
    </xdr:from>
    <xdr:to>
      <xdr:col>2</xdr:col>
      <xdr:colOff>695325</xdr:colOff>
      <xdr:row>108</xdr:row>
      <xdr:rowOff>76200</xdr:rowOff>
    </xdr:to>
    <xdr:graphicFrame>
      <xdr:nvGraphicFramePr>
        <xdr:cNvPr id="7" name="Chart 7"/>
        <xdr:cNvGraphicFramePr/>
      </xdr:nvGraphicFramePr>
      <xdr:xfrm>
        <a:off x="28575" y="15754350"/>
        <a:ext cx="3448050" cy="3543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35</xdr:row>
      <xdr:rowOff>114300</xdr:rowOff>
    </xdr:from>
    <xdr:to>
      <xdr:col>2</xdr:col>
      <xdr:colOff>923925</xdr:colOff>
      <xdr:row>51</xdr:row>
      <xdr:rowOff>76200</xdr:rowOff>
    </xdr:to>
    <xdr:graphicFrame>
      <xdr:nvGraphicFramePr>
        <xdr:cNvPr id="8" name="Chart 8"/>
        <xdr:cNvGraphicFramePr/>
      </xdr:nvGraphicFramePr>
      <xdr:xfrm>
        <a:off x="66675" y="7515225"/>
        <a:ext cx="363855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95250</xdr:rowOff>
    </xdr:from>
    <xdr:to>
      <xdr:col>12</xdr:col>
      <xdr:colOff>304800</xdr:colOff>
      <xdr:row>17</xdr:row>
      <xdr:rowOff>66675</xdr:rowOff>
    </xdr:to>
    <xdr:graphicFrame>
      <xdr:nvGraphicFramePr>
        <xdr:cNvPr id="1" name="Chart 10"/>
        <xdr:cNvGraphicFramePr/>
      </xdr:nvGraphicFramePr>
      <xdr:xfrm>
        <a:off x="4276725" y="257175"/>
        <a:ext cx="33432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54</xdr:row>
      <xdr:rowOff>142875</xdr:rowOff>
    </xdr:from>
    <xdr:to>
      <xdr:col>14</xdr:col>
      <xdr:colOff>66675</xdr:colOff>
      <xdr:row>71</xdr:row>
      <xdr:rowOff>19050</xdr:rowOff>
    </xdr:to>
    <xdr:graphicFrame>
      <xdr:nvGraphicFramePr>
        <xdr:cNvPr id="2" name="Chart 11"/>
        <xdr:cNvGraphicFramePr/>
      </xdr:nvGraphicFramePr>
      <xdr:xfrm>
        <a:off x="4953000" y="8886825"/>
        <a:ext cx="36480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5</xdr:col>
      <xdr:colOff>323850</xdr:colOff>
      <xdr:row>34</xdr:row>
      <xdr:rowOff>66675</xdr:rowOff>
    </xdr:to>
    <xdr:graphicFrame>
      <xdr:nvGraphicFramePr>
        <xdr:cNvPr id="3" name="Chart 12"/>
        <xdr:cNvGraphicFramePr/>
      </xdr:nvGraphicFramePr>
      <xdr:xfrm>
        <a:off x="609600" y="3238500"/>
        <a:ext cx="27622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2</xdr:row>
      <xdr:rowOff>66675</xdr:rowOff>
    </xdr:from>
    <xdr:to>
      <xdr:col>6</xdr:col>
      <xdr:colOff>400050</xdr:colOff>
      <xdr:row>18</xdr:row>
      <xdr:rowOff>66675</xdr:rowOff>
    </xdr:to>
    <xdr:graphicFrame>
      <xdr:nvGraphicFramePr>
        <xdr:cNvPr id="4" name="Chart 14"/>
        <xdr:cNvGraphicFramePr/>
      </xdr:nvGraphicFramePr>
      <xdr:xfrm>
        <a:off x="685800" y="390525"/>
        <a:ext cx="33718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581025</xdr:colOff>
      <xdr:row>55</xdr:row>
      <xdr:rowOff>142875</xdr:rowOff>
    </xdr:from>
    <xdr:to>
      <xdr:col>7</xdr:col>
      <xdr:colOff>47625</xdr:colOff>
      <xdr:row>71</xdr:row>
      <xdr:rowOff>104775</xdr:rowOff>
    </xdr:to>
    <xdr:graphicFrame>
      <xdr:nvGraphicFramePr>
        <xdr:cNvPr id="5" name="Chart 15"/>
        <xdr:cNvGraphicFramePr/>
      </xdr:nvGraphicFramePr>
      <xdr:xfrm>
        <a:off x="581025" y="9048750"/>
        <a:ext cx="373380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36</xdr:row>
      <xdr:rowOff>152400</xdr:rowOff>
    </xdr:from>
    <xdr:to>
      <xdr:col>12</xdr:col>
      <xdr:colOff>381000</xdr:colOff>
      <xdr:row>52</xdr:row>
      <xdr:rowOff>133350</xdr:rowOff>
    </xdr:to>
    <xdr:graphicFrame>
      <xdr:nvGraphicFramePr>
        <xdr:cNvPr id="6" name="Chart 16"/>
        <xdr:cNvGraphicFramePr/>
      </xdr:nvGraphicFramePr>
      <xdr:xfrm>
        <a:off x="4267200" y="5981700"/>
        <a:ext cx="342900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37</xdr:row>
      <xdr:rowOff>66675</xdr:rowOff>
    </xdr:from>
    <xdr:to>
      <xdr:col>6</xdr:col>
      <xdr:colOff>161925</xdr:colOff>
      <xdr:row>50</xdr:row>
      <xdr:rowOff>152400</xdr:rowOff>
    </xdr:to>
    <xdr:graphicFrame>
      <xdr:nvGraphicFramePr>
        <xdr:cNvPr id="7" name="Chart 17"/>
        <xdr:cNvGraphicFramePr/>
      </xdr:nvGraphicFramePr>
      <xdr:xfrm>
        <a:off x="638175" y="6057900"/>
        <a:ext cx="3181350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20</xdr:row>
      <xdr:rowOff>9525</xdr:rowOff>
    </xdr:from>
    <xdr:to>
      <xdr:col>12</xdr:col>
      <xdr:colOff>161925</xdr:colOff>
      <xdr:row>34</xdr:row>
      <xdr:rowOff>123825</xdr:rowOff>
    </xdr:to>
    <xdr:graphicFrame>
      <xdr:nvGraphicFramePr>
        <xdr:cNvPr id="8" name="Chart 18"/>
        <xdr:cNvGraphicFramePr/>
      </xdr:nvGraphicFramePr>
      <xdr:xfrm>
        <a:off x="4276725" y="3248025"/>
        <a:ext cx="3200400" cy="2381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561975</xdr:colOff>
      <xdr:row>73</xdr:row>
      <xdr:rowOff>66675</xdr:rowOff>
    </xdr:from>
    <xdr:to>
      <xdr:col>8</xdr:col>
      <xdr:colOff>314325</xdr:colOff>
      <xdr:row>89</xdr:row>
      <xdr:rowOff>38100</xdr:rowOff>
    </xdr:to>
    <xdr:graphicFrame>
      <xdr:nvGraphicFramePr>
        <xdr:cNvPr id="9" name="Chart 19"/>
        <xdr:cNvGraphicFramePr/>
      </xdr:nvGraphicFramePr>
      <xdr:xfrm>
        <a:off x="561975" y="11887200"/>
        <a:ext cx="4629150" cy="2562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9"/>
  <sheetViews>
    <sheetView tabSelected="1" zoomScalePageLayoutView="0" workbookViewId="0" topLeftCell="A1">
      <selection activeCell="D16" sqref="D16"/>
    </sheetView>
  </sheetViews>
  <sheetFormatPr defaultColWidth="9.140625" defaultRowHeight="12.75" outlineLevelRow="1" outlineLevelCol="1"/>
  <cols>
    <col min="1" max="1" width="4.28125" style="32" customWidth="1"/>
    <col min="2" max="2" width="34.421875" style="32" customWidth="1"/>
    <col min="3" max="5" width="14.57421875" style="32" hidden="1" customWidth="1" outlineLevel="1"/>
    <col min="6" max="6" width="13.7109375" style="32" hidden="1" customWidth="1" outlineLevel="1" collapsed="1"/>
    <col min="7" max="7" width="18.28125" style="32" customWidth="1" collapsed="1"/>
    <col min="8" max="11" width="13.7109375" style="32" customWidth="1"/>
    <col min="12" max="12" width="12.28125" style="32" customWidth="1"/>
    <col min="13" max="13" width="9.140625" style="32" customWidth="1"/>
    <col min="14" max="14" width="14.28125" style="32" customWidth="1"/>
    <col min="15" max="15" width="12.8515625" style="32" bestFit="1" customWidth="1"/>
    <col min="16" max="16" width="11.57421875" style="32" bestFit="1" customWidth="1"/>
    <col min="17" max="16384" width="9.140625" style="32" customWidth="1"/>
  </cols>
  <sheetData>
    <row r="1" spans="1:10" ht="18">
      <c r="A1" s="121"/>
      <c r="C1" s="33">
        <v>2002</v>
      </c>
      <c r="D1" s="33">
        <v>2003</v>
      </c>
      <c r="E1" s="33">
        <v>2004</v>
      </c>
      <c r="F1" s="136">
        <v>2005</v>
      </c>
      <c r="G1" s="136">
        <v>2006</v>
      </c>
      <c r="H1" s="136">
        <v>2007</v>
      </c>
      <c r="I1" s="136">
        <v>2008</v>
      </c>
      <c r="J1" s="136">
        <v>2009</v>
      </c>
    </row>
    <row r="2" spans="1:6" ht="18">
      <c r="A2" s="121"/>
      <c r="B2" s="136" t="s">
        <v>198</v>
      </c>
      <c r="C2" s="136"/>
      <c r="D2" s="136"/>
      <c r="E2" s="136"/>
      <c r="F2" s="136"/>
    </row>
    <row r="3" spans="1:10" ht="12.75">
      <c r="A3" s="121"/>
      <c r="B3" s="32" t="s">
        <v>7</v>
      </c>
      <c r="G3" s="35">
        <v>1.11</v>
      </c>
      <c r="H3" s="35">
        <v>0.188</v>
      </c>
      <c r="I3" s="35">
        <v>0.1986</v>
      </c>
      <c r="J3" s="69">
        <v>0.129</v>
      </c>
    </row>
    <row r="4" spans="1:10" ht="12.75">
      <c r="A4" s="121"/>
      <c r="G4" s="35"/>
      <c r="H4" s="35"/>
      <c r="I4" s="35"/>
      <c r="J4" s="69"/>
    </row>
    <row r="5" spans="1:9" ht="26.25" thickBot="1">
      <c r="A5" s="121"/>
      <c r="B5" s="28" t="s">
        <v>48</v>
      </c>
      <c r="C5" s="28"/>
      <c r="D5" s="28"/>
      <c r="E5" s="28"/>
      <c r="F5" s="28"/>
      <c r="G5" s="28"/>
      <c r="H5" s="18" t="s">
        <v>41</v>
      </c>
      <c r="I5" s="17" t="s">
        <v>46</v>
      </c>
    </row>
    <row r="6" spans="1:9" ht="14.25" thickBot="1" thickTop="1">
      <c r="A6" s="121"/>
      <c r="B6" s="2"/>
      <c r="C6" s="2"/>
      <c r="D6" s="2"/>
      <c r="E6" s="2"/>
      <c r="F6" s="2"/>
      <c r="G6" s="2"/>
      <c r="H6" s="20">
        <v>2000</v>
      </c>
      <c r="I6" s="19">
        <v>2009</v>
      </c>
    </row>
    <row r="7" spans="1:9" ht="14.25" thickBot="1" thickTop="1">
      <c r="A7" s="121"/>
      <c r="B7" s="8" t="s">
        <v>9</v>
      </c>
      <c r="C7" s="8"/>
      <c r="D7" s="8"/>
      <c r="E7" s="8"/>
      <c r="F7" s="8"/>
      <c r="G7" s="8"/>
      <c r="H7" s="22">
        <v>0.69</v>
      </c>
      <c r="I7" s="21" t="s">
        <v>47</v>
      </c>
    </row>
    <row r="8" spans="1:9" ht="14.25" thickBot="1" thickTop="1">
      <c r="A8" s="121"/>
      <c r="B8" s="5" t="s">
        <v>10</v>
      </c>
      <c r="C8" s="5"/>
      <c r="D8" s="5"/>
      <c r="E8" s="5"/>
      <c r="F8" s="5"/>
      <c r="G8" s="5"/>
      <c r="H8" s="24">
        <v>0.22</v>
      </c>
      <c r="I8" s="23"/>
    </row>
    <row r="9" spans="1:9" ht="14.25" thickBot="1" thickTop="1">
      <c r="A9" s="121"/>
      <c r="B9" s="8" t="s">
        <v>11</v>
      </c>
      <c r="C9" s="8"/>
      <c r="D9" s="8"/>
      <c r="E9" s="8"/>
      <c r="F9" s="8"/>
      <c r="G9" s="8"/>
      <c r="H9" s="22">
        <v>0.07</v>
      </c>
      <c r="I9" s="21"/>
    </row>
    <row r="10" spans="1:9" ht="14.25" thickBot="1" thickTop="1">
      <c r="A10" s="121"/>
      <c r="B10" s="5" t="s">
        <v>12</v>
      </c>
      <c r="C10" s="5"/>
      <c r="D10" s="5"/>
      <c r="E10" s="5"/>
      <c r="F10" s="5"/>
      <c r="G10" s="5"/>
      <c r="H10" s="24">
        <v>0.02</v>
      </c>
      <c r="I10" s="23"/>
    </row>
    <row r="11" spans="1:9" ht="14.25" thickBot="1" thickTop="1">
      <c r="A11" s="121"/>
      <c r="B11" s="8" t="s">
        <v>13</v>
      </c>
      <c r="C11" s="8"/>
      <c r="D11" s="8"/>
      <c r="E11" s="8"/>
      <c r="F11" s="8"/>
      <c r="G11" s="8"/>
      <c r="H11" s="22">
        <v>0.01</v>
      </c>
      <c r="I11" s="21"/>
    </row>
    <row r="12" spans="1:9" ht="14.25" thickBot="1" thickTop="1">
      <c r="A12" s="121"/>
      <c r="B12" s="5" t="s">
        <v>14</v>
      </c>
      <c r="C12" s="5"/>
      <c r="D12" s="5"/>
      <c r="E12" s="5"/>
      <c r="F12" s="5"/>
      <c r="G12" s="5"/>
      <c r="H12" s="25"/>
      <c r="I12" s="23"/>
    </row>
    <row r="13" spans="1:9" ht="14.25" thickBot="1" thickTop="1">
      <c r="A13" s="121"/>
      <c r="B13" s="8" t="s">
        <v>15</v>
      </c>
      <c r="C13" s="8"/>
      <c r="D13" s="8"/>
      <c r="E13" s="8"/>
      <c r="F13" s="8"/>
      <c r="G13" s="8"/>
      <c r="H13" s="22">
        <v>0.03</v>
      </c>
      <c r="I13" s="21"/>
    </row>
    <row r="14" spans="1:9" ht="13.5" thickTop="1">
      <c r="A14" s="121"/>
      <c r="B14" s="12" t="s">
        <v>16</v>
      </c>
      <c r="C14" s="12"/>
      <c r="D14" s="12"/>
      <c r="E14" s="12"/>
      <c r="F14" s="12"/>
      <c r="G14" s="12"/>
      <c r="H14" s="27">
        <f>SUM(H7:H13)</f>
        <v>1.04</v>
      </c>
      <c r="I14" s="26"/>
    </row>
    <row r="15" ht="12.75">
      <c r="A15" s="121"/>
    </row>
    <row r="16" spans="1:14" ht="12.75">
      <c r="A16" s="121"/>
      <c r="B16" s="33" t="s">
        <v>109</v>
      </c>
      <c r="C16" s="33"/>
      <c r="D16" s="33"/>
      <c r="E16" s="33"/>
      <c r="F16" s="33"/>
      <c r="G16" s="33"/>
      <c r="H16" s="33">
        <v>2007</v>
      </c>
      <c r="I16" s="33">
        <v>2008</v>
      </c>
      <c r="J16" s="33">
        <v>2009</v>
      </c>
      <c r="K16" s="33"/>
      <c r="L16" s="32">
        <v>958683.84</v>
      </c>
      <c r="N16" s="32">
        <f>L16/I19</f>
        <v>19.94225115969463</v>
      </c>
    </row>
    <row r="17" spans="1:13" ht="12.75">
      <c r="A17" s="121"/>
      <c r="B17" s="32" t="s">
        <v>8</v>
      </c>
      <c r="H17" s="40">
        <v>20.74</v>
      </c>
      <c r="I17" s="40">
        <v>24.3</v>
      </c>
      <c r="J17" s="40">
        <v>24.08</v>
      </c>
      <c r="K17" s="40"/>
      <c r="L17" s="32">
        <v>3231.09</v>
      </c>
      <c r="M17" s="32">
        <v>610</v>
      </c>
    </row>
    <row r="18" spans="1:13" ht="12.75">
      <c r="A18" s="121"/>
      <c r="B18" s="32" t="s">
        <v>108</v>
      </c>
      <c r="H18" s="40">
        <f>(1448045-738916.58)/H20</f>
        <v>15.158470746670657</v>
      </c>
      <c r="I18" s="40">
        <f>(1736688-L19)/I20</f>
        <v>14.658939618465231</v>
      </c>
      <c r="J18" s="40">
        <f>(1876571-1102682)/J20</f>
        <v>12.431951807228916</v>
      </c>
      <c r="K18" s="40"/>
      <c r="L18" s="32">
        <v>247.48</v>
      </c>
      <c r="M18" s="32">
        <v>37</v>
      </c>
    </row>
    <row r="19" spans="1:14" ht="12.75">
      <c r="A19" s="121"/>
      <c r="B19" s="32" t="s">
        <v>8</v>
      </c>
      <c r="H19" s="36">
        <v>35623</v>
      </c>
      <c r="I19" s="36">
        <v>48073</v>
      </c>
      <c r="J19" s="32">
        <v>45793</v>
      </c>
      <c r="L19" s="32">
        <f>+L16-L17-L18</f>
        <v>955205.27</v>
      </c>
      <c r="M19" s="32">
        <f>+I19-M17-M18</f>
        <v>47426</v>
      </c>
      <c r="N19" s="32">
        <f>L19/M19</f>
        <v>20.140962130476954</v>
      </c>
    </row>
    <row r="20" spans="1:10" ht="12.75">
      <c r="A20" s="121"/>
      <c r="B20" s="32" t="s">
        <v>108</v>
      </c>
      <c r="H20" s="36">
        <f>82404-H19</f>
        <v>46781</v>
      </c>
      <c r="I20" s="39">
        <f>33179+34337+33868-I19</f>
        <v>53311</v>
      </c>
      <c r="J20" s="32">
        <f>108043-J19</f>
        <v>62250</v>
      </c>
    </row>
    <row r="21" ht="12.75">
      <c r="A21" s="121"/>
    </row>
    <row r="22" ht="12.75">
      <c r="A22" s="121"/>
    </row>
    <row r="23" spans="1:10" ht="12.75">
      <c r="A23" s="121"/>
      <c r="B23" s="33" t="s">
        <v>5</v>
      </c>
      <c r="C23" s="33"/>
      <c r="D23" s="33"/>
      <c r="E23" s="33"/>
      <c r="F23" s="33"/>
      <c r="G23" s="32">
        <v>2366</v>
      </c>
      <c r="H23" s="32">
        <v>2790</v>
      </c>
      <c r="I23" s="32">
        <v>3440</v>
      </c>
      <c r="J23" s="32">
        <v>4196</v>
      </c>
    </row>
    <row r="24" spans="1:10" ht="12.75">
      <c r="A24" s="121"/>
      <c r="B24" s="124" t="s">
        <v>204</v>
      </c>
      <c r="C24" s="124"/>
      <c r="D24" s="124"/>
      <c r="E24" s="124"/>
      <c r="F24" s="124"/>
      <c r="H24" s="41">
        <f>H23/G23-1</f>
        <v>0.17920540997464074</v>
      </c>
      <c r="I24" s="35">
        <f>I23/H23-1</f>
        <v>0.23297491039426532</v>
      </c>
      <c r="J24" s="35">
        <f>J23/I23-1</f>
        <v>0.21976744186046515</v>
      </c>
    </row>
    <row r="25" spans="1:10" ht="12.75">
      <c r="A25" s="121"/>
      <c r="J25" s="32" t="s">
        <v>110</v>
      </c>
    </row>
    <row r="26" ht="12.75">
      <c r="A26" s="121"/>
    </row>
    <row r="27" spans="1:10" ht="12.75">
      <c r="A27" s="121"/>
      <c r="B27" s="33" t="s">
        <v>197</v>
      </c>
      <c r="C27" s="33"/>
      <c r="D27" s="33"/>
      <c r="E27" s="33"/>
      <c r="F27" s="33"/>
      <c r="J27" s="33"/>
    </row>
    <row r="28" spans="1:10" ht="12.75">
      <c r="A28" s="121"/>
      <c r="B28" s="123" t="s">
        <v>199</v>
      </c>
      <c r="C28" s="123"/>
      <c r="D28" s="123"/>
      <c r="E28" s="123"/>
      <c r="F28" s="123"/>
      <c r="J28" s="32">
        <v>454</v>
      </c>
    </row>
    <row r="29" spans="1:10" ht="12.75">
      <c r="A29" s="121"/>
      <c r="B29" s="123" t="s">
        <v>201</v>
      </c>
      <c r="C29" s="123"/>
      <c r="D29" s="123"/>
      <c r="E29" s="123"/>
      <c r="F29" s="123"/>
      <c r="J29" s="32">
        <f>322+60</f>
        <v>382</v>
      </c>
    </row>
    <row r="30" spans="1:10" ht="12.75">
      <c r="A30" s="121"/>
      <c r="B30" s="123" t="s">
        <v>202</v>
      </c>
      <c r="C30" s="123"/>
      <c r="D30" s="123"/>
      <c r="E30" s="123"/>
      <c r="F30" s="123"/>
      <c r="J30" s="32">
        <f>40+15</f>
        <v>55</v>
      </c>
    </row>
    <row r="31" spans="1:10" ht="12.75">
      <c r="A31" s="121"/>
      <c r="B31" s="123" t="s">
        <v>203</v>
      </c>
      <c r="C31" s="123"/>
      <c r="D31" s="123"/>
      <c r="E31" s="123"/>
      <c r="F31" s="123"/>
      <c r="J31" s="32">
        <f>9+5+2+1</f>
        <v>17</v>
      </c>
    </row>
    <row r="32" spans="1:10" ht="12.75">
      <c r="A32" s="121"/>
      <c r="B32" s="124" t="s">
        <v>200</v>
      </c>
      <c r="C32" s="124"/>
      <c r="D32" s="124"/>
      <c r="E32" s="124"/>
      <c r="F32" s="124"/>
      <c r="G32" s="33"/>
      <c r="H32" s="33"/>
      <c r="I32" s="33"/>
      <c r="J32" s="135">
        <f>+J29/J28-J31/J28</f>
        <v>0.8039647577092511</v>
      </c>
    </row>
    <row r="33" ht="12.75">
      <c r="A33" s="121"/>
    </row>
    <row r="34" spans="1:10" ht="12.75">
      <c r="A34" s="121"/>
      <c r="B34" s="33" t="s">
        <v>6</v>
      </c>
      <c r="C34" s="33"/>
      <c r="D34" s="33"/>
      <c r="E34" s="33"/>
      <c r="F34" s="33"/>
      <c r="G34" s="42">
        <v>0.511</v>
      </c>
      <c r="H34" s="35">
        <v>0.524164390688645</v>
      </c>
      <c r="I34" s="35">
        <v>0.526090120446346</v>
      </c>
      <c r="J34" s="35">
        <v>0.551</v>
      </c>
    </row>
    <row r="35" ht="13.5" thickBot="1">
      <c r="A35" s="121"/>
    </row>
    <row r="36" spans="1:13" ht="14.25" thickBot="1" thickTop="1">
      <c r="A36" s="121"/>
      <c r="B36" s="138" t="s">
        <v>205</v>
      </c>
      <c r="C36" s="138"/>
      <c r="D36" s="138"/>
      <c r="E36" s="138"/>
      <c r="F36" s="138"/>
      <c r="G36" s="4"/>
      <c r="H36" s="4">
        <v>2007</v>
      </c>
      <c r="I36" s="134"/>
      <c r="J36" s="134"/>
      <c r="K36" s="134"/>
      <c r="L36" s="134"/>
      <c r="M36" s="134"/>
    </row>
    <row r="37" spans="1:13" ht="14.25" thickBot="1" thickTop="1">
      <c r="A37" s="121"/>
      <c r="B37" s="126" t="s">
        <v>30</v>
      </c>
      <c r="C37" s="127"/>
      <c r="D37" s="127"/>
      <c r="E37" s="127"/>
      <c r="F37" s="127"/>
      <c r="G37" s="120"/>
      <c r="H37" s="73">
        <v>0.44</v>
      </c>
      <c r="I37" s="131"/>
      <c r="J37" s="131"/>
      <c r="K37" s="131"/>
      <c r="L37" s="131"/>
      <c r="M37" s="132"/>
    </row>
    <row r="38" spans="1:13" ht="14.25" thickBot="1" thickTop="1">
      <c r="A38" s="121"/>
      <c r="B38" s="137" t="s">
        <v>22</v>
      </c>
      <c r="C38" s="137"/>
      <c r="D38" s="137"/>
      <c r="E38" s="137"/>
      <c r="F38" s="137"/>
      <c r="G38" s="4"/>
      <c r="H38" s="72">
        <v>0.459</v>
      </c>
      <c r="I38" s="131"/>
      <c r="J38" s="131"/>
      <c r="K38" s="131"/>
      <c r="L38" s="131"/>
      <c r="M38" s="132"/>
    </row>
    <row r="39" spans="1:8" ht="14.25" thickBot="1" thickTop="1">
      <c r="A39" s="121"/>
      <c r="B39" s="126" t="s">
        <v>23</v>
      </c>
      <c r="C39" s="127"/>
      <c r="D39" s="127"/>
      <c r="E39" s="127"/>
      <c r="F39" s="127"/>
      <c r="G39" s="120"/>
      <c r="H39" s="6">
        <v>0.049</v>
      </c>
    </row>
    <row r="40" spans="1:8" ht="14.25" thickBot="1" thickTop="1">
      <c r="A40" s="121"/>
      <c r="B40" s="137" t="s">
        <v>24</v>
      </c>
      <c r="C40" s="137"/>
      <c r="D40" s="137"/>
      <c r="E40" s="137"/>
      <c r="F40" s="137"/>
      <c r="G40" s="4"/>
      <c r="H40" s="72">
        <v>0.053</v>
      </c>
    </row>
    <row r="41" spans="1:8" ht="14.25" thickBot="1" thickTop="1">
      <c r="A41" s="121"/>
      <c r="B41" s="130" t="s">
        <v>52</v>
      </c>
      <c r="C41" s="127"/>
      <c r="D41" s="127"/>
      <c r="E41" s="127"/>
      <c r="F41" s="127"/>
      <c r="G41" s="120"/>
      <c r="H41" s="10">
        <v>0.44</v>
      </c>
    </row>
    <row r="42" spans="1:8" ht="14.25" thickBot="1" thickTop="1">
      <c r="A42" s="121"/>
      <c r="B42" s="137" t="s">
        <v>25</v>
      </c>
      <c r="C42" s="137"/>
      <c r="D42" s="137"/>
      <c r="E42" s="137"/>
      <c r="F42" s="137"/>
      <c r="G42" s="4"/>
      <c r="H42" s="72"/>
    </row>
    <row r="43" spans="1:8" s="128" customFormat="1" ht="13.5" thickTop="1">
      <c r="A43" s="121"/>
      <c r="B43" s="129"/>
      <c r="C43" s="139"/>
      <c r="D43" s="139"/>
      <c r="E43" s="139"/>
      <c r="F43" s="139"/>
      <c r="H43" s="131"/>
    </row>
    <row r="44" spans="1:10" ht="12.75">
      <c r="A44" s="121"/>
      <c r="B44" s="33" t="s">
        <v>206</v>
      </c>
      <c r="C44" s="33"/>
      <c r="D44" s="33"/>
      <c r="E44" s="33"/>
      <c r="F44" s="33"/>
      <c r="G44" s="42"/>
      <c r="H44" s="35">
        <v>0.673</v>
      </c>
      <c r="I44" s="35"/>
      <c r="J44" s="35"/>
    </row>
    <row r="45" spans="1:8" s="128" customFormat="1" ht="12.75">
      <c r="A45" s="121"/>
      <c r="B45" s="129"/>
      <c r="C45" s="139"/>
      <c r="D45" s="139"/>
      <c r="E45" s="139"/>
      <c r="F45" s="139"/>
      <c r="H45" s="131"/>
    </row>
    <row r="46" spans="1:10" ht="12.75">
      <c r="A46" s="121"/>
      <c r="B46" s="33" t="s">
        <v>17</v>
      </c>
      <c r="C46" s="33"/>
      <c r="D46" s="33"/>
      <c r="E46" s="33"/>
      <c r="F46" s="33"/>
      <c r="G46" s="36">
        <v>244</v>
      </c>
      <c r="H46" s="36">
        <v>162</v>
      </c>
      <c r="I46" s="36">
        <v>431</v>
      </c>
      <c r="J46" s="36">
        <v>520</v>
      </c>
    </row>
    <row r="47" ht="12.75">
      <c r="A47" s="121"/>
    </row>
    <row r="48" spans="1:10" ht="12.75">
      <c r="A48" s="121"/>
      <c r="B48" s="33" t="s">
        <v>18</v>
      </c>
      <c r="C48" s="33"/>
      <c r="D48" s="33"/>
      <c r="E48" s="33"/>
      <c r="F48" s="33"/>
      <c r="G48" s="36">
        <v>109</v>
      </c>
      <c r="H48" s="36">
        <v>62</v>
      </c>
      <c r="I48" s="36">
        <v>98</v>
      </c>
      <c r="J48" s="36">
        <v>81</v>
      </c>
    </row>
    <row r="49" spans="1:13" ht="12.75">
      <c r="A49" s="121"/>
      <c r="I49" s="133"/>
      <c r="J49" s="133"/>
      <c r="K49" s="133"/>
      <c r="L49" s="133"/>
      <c r="M49" s="133"/>
    </row>
    <row r="50" spans="1:10" s="33" customFormat="1" ht="13.5" thickBot="1">
      <c r="A50" s="122"/>
      <c r="B50" s="47" t="s">
        <v>19</v>
      </c>
      <c r="C50" s="47"/>
      <c r="D50" s="47"/>
      <c r="E50" s="47"/>
      <c r="F50" s="47"/>
      <c r="G50" s="47"/>
      <c r="I50" s="125">
        <v>2008</v>
      </c>
      <c r="J50" s="125">
        <v>2009</v>
      </c>
    </row>
    <row r="51" spans="1:10" s="43" customFormat="1" ht="14.25" thickBot="1" thickTop="1">
      <c r="A51" s="121"/>
      <c r="B51" s="8" t="s">
        <v>59</v>
      </c>
      <c r="C51" s="8"/>
      <c r="D51" s="8"/>
      <c r="E51" s="8"/>
      <c r="F51" s="8"/>
      <c r="G51" s="8"/>
      <c r="I51" s="29">
        <v>34</v>
      </c>
      <c r="J51" s="29">
        <v>0</v>
      </c>
    </row>
    <row r="52" spans="1:10" ht="14.25" thickBot="1" thickTop="1">
      <c r="A52" s="121"/>
      <c r="B52" s="5" t="s">
        <v>60</v>
      </c>
      <c r="C52" s="5"/>
      <c r="D52" s="5"/>
      <c r="E52" s="5"/>
      <c r="F52" s="5"/>
      <c r="G52" s="5"/>
      <c r="I52" s="30">
        <f>98+35</f>
        <v>133</v>
      </c>
      <c r="J52" s="30">
        <f>33+81</f>
        <v>114</v>
      </c>
    </row>
    <row r="53" spans="1:10" ht="14.25" thickBot="1" thickTop="1">
      <c r="A53" s="121"/>
      <c r="B53" s="8" t="s">
        <v>50</v>
      </c>
      <c r="C53" s="8"/>
      <c r="D53" s="8"/>
      <c r="E53" s="8"/>
      <c r="F53" s="8"/>
      <c r="G53" s="8"/>
      <c r="I53" s="29">
        <v>250</v>
      </c>
      <c r="J53" s="29">
        <v>485</v>
      </c>
    </row>
    <row r="54" spans="1:10" ht="14.25" thickBot="1" thickTop="1">
      <c r="A54" s="121"/>
      <c r="B54" s="5" t="s">
        <v>16</v>
      </c>
      <c r="C54" s="5"/>
      <c r="D54" s="5"/>
      <c r="E54" s="5"/>
      <c r="F54" s="5"/>
      <c r="G54" s="5"/>
      <c r="I54" s="30">
        <f>SUM(I51:I53)</f>
        <v>417</v>
      </c>
      <c r="J54" s="30">
        <f>SUM(J51:J53)</f>
        <v>599</v>
      </c>
    </row>
    <row r="55" spans="1:10" ht="14.25" thickBot="1" thickTop="1">
      <c r="A55" s="121"/>
      <c r="B55" s="8" t="s">
        <v>51</v>
      </c>
      <c r="C55" s="8"/>
      <c r="D55" s="8"/>
      <c r="E55" s="8"/>
      <c r="F55" s="8"/>
      <c r="G55" s="8"/>
      <c r="I55" s="9">
        <f>+I54/I23</f>
        <v>0.12122093023255814</v>
      </c>
      <c r="J55" s="9">
        <f>+J54/J23</f>
        <v>0.14275500476644423</v>
      </c>
    </row>
    <row r="56" spans="1:2" ht="13.5" thickTop="1">
      <c r="A56" s="121"/>
      <c r="B56" s="32" t="s">
        <v>20</v>
      </c>
    </row>
    <row r="57" ht="12.75">
      <c r="A57" s="121"/>
    </row>
    <row r="58" spans="1:10" ht="12.75">
      <c r="A58" s="121"/>
      <c r="B58" s="33" t="s">
        <v>38</v>
      </c>
      <c r="C58" s="33"/>
      <c r="D58" s="33"/>
      <c r="E58" s="33"/>
      <c r="F58" s="38">
        <v>2116333</v>
      </c>
      <c r="G58" s="38">
        <v>4483560</v>
      </c>
      <c r="H58" s="38">
        <v>5272555</v>
      </c>
      <c r="I58" s="38">
        <v>6319455</v>
      </c>
      <c r="J58" s="38">
        <v>7133744</v>
      </c>
    </row>
    <row r="59" spans="1:10" ht="12.75">
      <c r="A59" s="121"/>
      <c r="B59" s="32" t="s">
        <v>131</v>
      </c>
      <c r="F59" s="38">
        <v>-11701</v>
      </c>
      <c r="G59" s="38">
        <v>-240438</v>
      </c>
      <c r="H59" s="38">
        <v>37949</v>
      </c>
      <c r="I59" s="38">
        <v>86846</v>
      </c>
      <c r="J59" s="38">
        <v>126683</v>
      </c>
    </row>
    <row r="60" spans="1:10" ht="12.75">
      <c r="A60" s="121"/>
      <c r="B60" s="33" t="s">
        <v>207</v>
      </c>
      <c r="C60" s="33"/>
      <c r="D60" s="33"/>
      <c r="E60" s="33"/>
      <c r="F60" s="46">
        <f>F59/F58</f>
        <v>-0.0055289030601516865</v>
      </c>
      <c r="G60" s="46">
        <f>G59/G58</f>
        <v>-0.05362658244787624</v>
      </c>
      <c r="H60" s="46">
        <f>H59/H58</f>
        <v>0.007197459296299422</v>
      </c>
      <c r="I60" s="46">
        <f>I59/I58</f>
        <v>0.01374264078152309</v>
      </c>
      <c r="J60" s="46">
        <f>J59/J58</f>
        <v>0.017758276719770153</v>
      </c>
    </row>
    <row r="61" ht="12.75">
      <c r="A61" s="121"/>
    </row>
    <row r="62" spans="1:10" ht="12.75">
      <c r="A62" s="121"/>
      <c r="B62" s="32" t="s">
        <v>95</v>
      </c>
      <c r="F62" s="32">
        <f>2651626-579354</f>
        <v>2072272</v>
      </c>
      <c r="G62" s="32">
        <f>3430537-572286</f>
        <v>2858251</v>
      </c>
      <c r="H62" s="32">
        <f>3244188-491080-49641-52500-1200</f>
        <v>2649767</v>
      </c>
      <c r="I62" s="32">
        <f>3091590-451580-52500-57664-1740</f>
        <v>2528106</v>
      </c>
      <c r="J62" s="32">
        <f>2839478.1-J255-66193.03-1236.7</f>
        <v>2309468.37</v>
      </c>
    </row>
    <row r="63" spans="1:10" ht="12.75">
      <c r="A63" s="121"/>
      <c r="B63" s="32" t="s">
        <v>97</v>
      </c>
      <c r="F63" s="32">
        <f>579354+258943</f>
        <v>838297</v>
      </c>
      <c r="G63" s="32">
        <f>572286+66395</f>
        <v>638681</v>
      </c>
      <c r="H63" s="32">
        <f>491080+49641+136243+52500+1200</f>
        <v>730664</v>
      </c>
      <c r="I63" s="32">
        <f>52500+1740+451580+57664+276541</f>
        <v>840025</v>
      </c>
      <c r="J63" s="77">
        <f>2839478.1-J62+457401.96</f>
        <v>987411.69</v>
      </c>
    </row>
    <row r="64" spans="1:10" ht="12.75">
      <c r="A64" s="121"/>
      <c r="B64" s="32" t="s">
        <v>96</v>
      </c>
      <c r="F64" s="32">
        <v>2910569</v>
      </c>
      <c r="G64" s="32">
        <v>3496932</v>
      </c>
      <c r="H64" s="32">
        <v>3380431</v>
      </c>
      <c r="I64" s="32">
        <v>3368131</v>
      </c>
      <c r="J64" s="32">
        <v>3296880.06</v>
      </c>
    </row>
    <row r="65" spans="1:10" ht="12.75">
      <c r="A65" s="121"/>
      <c r="B65" s="32" t="s">
        <v>93</v>
      </c>
      <c r="F65" s="61">
        <f>+F62/F63</f>
        <v>2.4720021662966705</v>
      </c>
      <c r="G65" s="61">
        <f>+G62/G63</f>
        <v>4.475240378216982</v>
      </c>
      <c r="H65" s="61">
        <f>+H62/H63</f>
        <v>3.6265191661283436</v>
      </c>
      <c r="I65" s="61">
        <f>+I62/I63</f>
        <v>3.0095604297491145</v>
      </c>
      <c r="J65" s="61">
        <f>+J62/J63</f>
        <v>2.3389113106408534</v>
      </c>
    </row>
    <row r="66" spans="1:10" ht="12.75">
      <c r="A66" s="121"/>
      <c r="B66" s="32" t="s">
        <v>94</v>
      </c>
      <c r="F66" s="35">
        <f>F62/F64</f>
        <v>0.7119817465244769</v>
      </c>
      <c r="G66" s="35">
        <f>G62/G64</f>
        <v>0.8173596169442242</v>
      </c>
      <c r="H66" s="35">
        <f>H62/H64</f>
        <v>0.7838547806477931</v>
      </c>
      <c r="I66" s="35">
        <f>I62/I64</f>
        <v>0.7505961021112302</v>
      </c>
      <c r="J66" s="35">
        <f>J62/J64</f>
        <v>0.7005011792876688</v>
      </c>
    </row>
    <row r="67" spans="1:10" ht="12.75">
      <c r="A67" s="121"/>
      <c r="B67" s="32" t="s">
        <v>98</v>
      </c>
      <c r="G67" s="35">
        <f>G63/F63-1</f>
        <v>-0.23812085692779528</v>
      </c>
      <c r="H67" s="35">
        <f>H63/G63-1</f>
        <v>0.14402025424272846</v>
      </c>
      <c r="I67" s="35">
        <f>I63/H63-1</f>
        <v>0.1496734477133128</v>
      </c>
      <c r="J67" s="35">
        <f>J63/I63-1</f>
        <v>0.1754551233594237</v>
      </c>
    </row>
    <row r="68" ht="12.75">
      <c r="A68" s="121"/>
    </row>
    <row r="69" spans="1:5" ht="18">
      <c r="A69" s="140"/>
      <c r="B69" s="136" t="s">
        <v>208</v>
      </c>
      <c r="C69" s="136"/>
      <c r="D69" s="136"/>
      <c r="E69" s="136"/>
    </row>
    <row r="70" ht="12.75">
      <c r="A70" s="140"/>
    </row>
    <row r="71" spans="1:11" ht="26.25" thickBot="1">
      <c r="A71" s="140"/>
      <c r="B71" s="47" t="s">
        <v>39</v>
      </c>
      <c r="C71" s="70"/>
      <c r="D71" s="70"/>
      <c r="E71" s="70"/>
      <c r="G71" s="48" t="s">
        <v>45</v>
      </c>
      <c r="H71" s="48" t="s">
        <v>46</v>
      </c>
      <c r="I71" s="48" t="s">
        <v>49</v>
      </c>
      <c r="K71" s="75"/>
    </row>
    <row r="72" spans="1:11" ht="14.25" thickBot="1" thickTop="1">
      <c r="A72" s="140"/>
      <c r="B72" s="2"/>
      <c r="C72" s="153"/>
      <c r="D72" s="153"/>
      <c r="E72" s="153"/>
      <c r="G72" s="50">
        <v>2000</v>
      </c>
      <c r="H72" s="49">
        <v>2007</v>
      </c>
      <c r="I72" s="48"/>
      <c r="K72" s="75"/>
    </row>
    <row r="73" spans="1:11" s="43" customFormat="1" ht="14.25" thickBot="1" thickTop="1">
      <c r="A73" s="140"/>
      <c r="B73" s="8" t="s">
        <v>40</v>
      </c>
      <c r="C73" s="154"/>
      <c r="D73" s="154"/>
      <c r="E73" s="154"/>
      <c r="G73" s="11">
        <v>0.4</v>
      </c>
      <c r="H73" s="51">
        <v>0.111</v>
      </c>
      <c r="I73" s="52">
        <f>H73-G73</f>
        <v>-0.28900000000000003</v>
      </c>
      <c r="K73" s="52"/>
    </row>
    <row r="74" spans="1:11" s="55" customFormat="1" ht="14.25" thickBot="1" thickTop="1">
      <c r="A74" s="140"/>
      <c r="B74" s="5" t="s">
        <v>44</v>
      </c>
      <c r="C74" s="155"/>
      <c r="D74" s="155"/>
      <c r="E74" s="155"/>
      <c r="G74" s="10">
        <v>0.32</v>
      </c>
      <c r="H74" s="53">
        <v>0.27</v>
      </c>
      <c r="I74" s="54">
        <f>H74-G74</f>
        <v>-0.04999999999999999</v>
      </c>
      <c r="K74" s="54"/>
    </row>
    <row r="75" spans="1:11" s="43" customFormat="1" ht="14.25" thickBot="1" thickTop="1">
      <c r="A75" s="140"/>
      <c r="B75" s="8" t="s">
        <v>43</v>
      </c>
      <c r="C75" s="154"/>
      <c r="D75" s="154"/>
      <c r="E75" s="154"/>
      <c r="G75" s="11">
        <v>0.12</v>
      </c>
      <c r="H75" s="51">
        <v>0.21</v>
      </c>
      <c r="I75" s="52">
        <f>H75-G75</f>
        <v>0.09</v>
      </c>
      <c r="K75" s="52"/>
    </row>
    <row r="76" spans="1:11" s="55" customFormat="1" ht="14.25" thickBot="1" thickTop="1">
      <c r="A76" s="140"/>
      <c r="B76" s="5" t="s">
        <v>42</v>
      </c>
      <c r="C76" s="155"/>
      <c r="D76" s="155"/>
      <c r="E76" s="155"/>
      <c r="G76" s="10">
        <v>0.16</v>
      </c>
      <c r="H76" s="53">
        <v>0.41</v>
      </c>
      <c r="I76" s="54">
        <f>H76-G76</f>
        <v>0.24999999999999997</v>
      </c>
      <c r="K76" s="54"/>
    </row>
    <row r="77" spans="1:8" s="43" customFormat="1" ht="13.5" thickTop="1">
      <c r="A77" s="140"/>
      <c r="B77" s="56"/>
      <c r="C77" s="71"/>
      <c r="D77" s="71"/>
      <c r="E77" s="71"/>
      <c r="G77" s="57">
        <f>SUM(G73:G76)</f>
        <v>1</v>
      </c>
      <c r="H77" s="57">
        <f>SUM(H73:H76)</f>
        <v>1.001</v>
      </c>
    </row>
    <row r="78" ht="12.75">
      <c r="A78" s="140"/>
    </row>
    <row r="79" ht="13.5" thickBot="1">
      <c r="A79" s="140"/>
    </row>
    <row r="80" spans="1:10" ht="14.25" thickBot="1" thickTop="1">
      <c r="A80" s="140"/>
      <c r="B80" s="62" t="s">
        <v>138</v>
      </c>
      <c r="C80" s="62"/>
      <c r="D80" s="62"/>
      <c r="E80" s="62"/>
      <c r="F80" s="62"/>
      <c r="G80" s="62"/>
      <c r="H80" s="62"/>
      <c r="I80" s="62"/>
      <c r="J80" s="62" t="s">
        <v>137</v>
      </c>
    </row>
    <row r="81" spans="1:10" ht="14.25" thickBot="1" thickTop="1">
      <c r="A81" s="140"/>
      <c r="B81" s="8" t="s">
        <v>136</v>
      </c>
      <c r="C81" s="8"/>
      <c r="D81" s="8"/>
      <c r="E81" s="8"/>
      <c r="F81" s="8"/>
      <c r="G81" s="8"/>
      <c r="H81" s="8"/>
      <c r="I81" s="8"/>
      <c r="J81" s="84">
        <v>20663.96</v>
      </c>
    </row>
    <row r="82" spans="1:10" ht="14.25" thickBot="1" thickTop="1">
      <c r="A82" s="140"/>
      <c r="B82" s="5" t="s">
        <v>144</v>
      </c>
      <c r="C82" s="5"/>
      <c r="D82" s="5"/>
      <c r="E82" s="5"/>
      <c r="F82" s="5"/>
      <c r="G82" s="5"/>
      <c r="H82" s="5"/>
      <c r="I82" s="5"/>
      <c r="J82" s="82">
        <f>+J83/0.15-J83</f>
        <v>44368.47</v>
      </c>
    </row>
    <row r="83" spans="1:10" ht="14.25" thickBot="1" thickTop="1">
      <c r="A83" s="140"/>
      <c r="B83" s="8" t="s">
        <v>143</v>
      </c>
      <c r="C83" s="8"/>
      <c r="D83" s="8"/>
      <c r="E83" s="8"/>
      <c r="F83" s="8"/>
      <c r="G83" s="8"/>
      <c r="H83" s="8"/>
      <c r="I83" s="8"/>
      <c r="J83" s="83">
        <v>7829.73</v>
      </c>
    </row>
    <row r="84" ht="13.5" thickTop="1">
      <c r="A84" s="140"/>
    </row>
    <row r="85" ht="12.75">
      <c r="A85" s="140"/>
    </row>
    <row r="86" spans="1:5" ht="18">
      <c r="A86" s="151"/>
      <c r="B86" s="136" t="s">
        <v>209</v>
      </c>
      <c r="C86" s="136"/>
      <c r="D86" s="136"/>
      <c r="E86" s="136"/>
    </row>
    <row r="87" ht="12.75">
      <c r="A87" s="151"/>
    </row>
    <row r="88" spans="1:10" s="33" customFormat="1" ht="12.75">
      <c r="A88" s="152"/>
      <c r="B88" s="33" t="s">
        <v>37</v>
      </c>
      <c r="G88" s="32">
        <v>3169</v>
      </c>
      <c r="H88" s="32">
        <v>3661</v>
      </c>
      <c r="I88" s="32">
        <v>4024</v>
      </c>
      <c r="J88" s="32">
        <v>4707</v>
      </c>
    </row>
    <row r="89" spans="1:14" ht="12.75">
      <c r="A89" s="151"/>
      <c r="B89" s="123"/>
      <c r="C89" s="123"/>
      <c r="D89" s="123"/>
      <c r="E89" s="123"/>
      <c r="N89" s="35">
        <f>12/25</f>
        <v>0.48</v>
      </c>
    </row>
    <row r="90" spans="1:10" ht="12.75">
      <c r="A90" s="151"/>
      <c r="B90" s="33" t="s">
        <v>211</v>
      </c>
      <c r="C90" s="33"/>
      <c r="D90" s="33"/>
      <c r="E90" s="33"/>
      <c r="J90" s="32">
        <v>3486</v>
      </c>
    </row>
    <row r="91" spans="1:5" ht="12.75">
      <c r="A91" s="151"/>
      <c r="B91" s="33" t="s">
        <v>251</v>
      </c>
      <c r="C91" s="33"/>
      <c r="D91" s="33"/>
      <c r="E91" s="33"/>
    </row>
    <row r="92" spans="1:5" ht="12.75">
      <c r="A92" s="151"/>
      <c r="B92" s="33"/>
      <c r="C92" s="33"/>
      <c r="D92" s="33"/>
      <c r="E92" s="33"/>
    </row>
    <row r="93" ht="12.75">
      <c r="A93" s="151"/>
    </row>
    <row r="94" spans="1:10" ht="13.5" thickBot="1">
      <c r="A94" s="151"/>
      <c r="B94" s="78" t="s">
        <v>219</v>
      </c>
      <c r="C94" s="78"/>
      <c r="D94" s="78"/>
      <c r="E94" s="78"/>
      <c r="F94" s="146"/>
      <c r="J94" s="81">
        <v>2009</v>
      </c>
    </row>
    <row r="95" spans="1:10" ht="14.25" thickBot="1" thickTop="1">
      <c r="A95" s="151"/>
      <c r="B95" s="79" t="s">
        <v>220</v>
      </c>
      <c r="C95" s="79"/>
      <c r="D95" s="79"/>
      <c r="E95" s="79"/>
      <c r="F95" s="146"/>
      <c r="G95" s="146"/>
      <c r="H95" s="146"/>
      <c r="I95" s="146"/>
      <c r="J95" s="146"/>
    </row>
    <row r="96" spans="1:10" ht="14.25" thickBot="1" thickTop="1">
      <c r="A96" s="151"/>
      <c r="B96" s="148" t="s">
        <v>213</v>
      </c>
      <c r="C96" s="148"/>
      <c r="D96" s="148"/>
      <c r="E96" s="148"/>
      <c r="F96" s="145"/>
      <c r="J96" s="145">
        <v>81</v>
      </c>
    </row>
    <row r="97" spans="1:10" ht="14.25" thickBot="1" thickTop="1">
      <c r="A97" s="151"/>
      <c r="B97" s="147" t="s">
        <v>212</v>
      </c>
      <c r="C97" s="147"/>
      <c r="D97" s="147"/>
      <c r="E97" s="147"/>
      <c r="F97" s="146"/>
      <c r="J97" s="146">
        <v>35</v>
      </c>
    </row>
    <row r="98" spans="1:10" ht="14.25" thickBot="1" thickTop="1">
      <c r="A98" s="151"/>
      <c r="B98" s="148" t="s">
        <v>132</v>
      </c>
      <c r="C98" s="148"/>
      <c r="D98" s="148"/>
      <c r="E98" s="148"/>
      <c r="F98" s="145"/>
      <c r="J98" s="145">
        <v>20</v>
      </c>
    </row>
    <row r="99" spans="1:10" ht="14.25" thickBot="1" thickTop="1">
      <c r="A99" s="151"/>
      <c r="B99" s="147" t="s">
        <v>135</v>
      </c>
      <c r="C99" s="147"/>
      <c r="D99" s="147"/>
      <c r="E99" s="147"/>
      <c r="F99" s="146"/>
      <c r="J99" s="146" t="s">
        <v>218</v>
      </c>
    </row>
    <row r="100" spans="1:10" ht="14.25" thickBot="1" thickTop="1">
      <c r="A100" s="151"/>
      <c r="B100" s="148" t="s">
        <v>215</v>
      </c>
      <c r="C100" s="148"/>
      <c r="D100" s="148"/>
      <c r="E100" s="148"/>
      <c r="F100" s="145"/>
      <c r="J100" s="145">
        <v>22</v>
      </c>
    </row>
    <row r="101" spans="1:10" ht="14.25" thickBot="1" thickTop="1">
      <c r="A101" s="151"/>
      <c r="B101" s="147" t="s">
        <v>223</v>
      </c>
      <c r="C101" s="147"/>
      <c r="D101" s="147"/>
      <c r="E101" s="147"/>
      <c r="F101" s="146"/>
      <c r="J101" s="146">
        <v>399</v>
      </c>
    </row>
    <row r="102" spans="1:10" ht="14.25" thickBot="1" thickTop="1">
      <c r="A102" s="151"/>
      <c r="B102" s="144" t="s">
        <v>216</v>
      </c>
      <c r="C102" s="144"/>
      <c r="D102" s="144"/>
      <c r="E102" s="144"/>
      <c r="F102" s="80"/>
      <c r="J102" s="80">
        <f>SUM(J96:J101)</f>
        <v>557</v>
      </c>
    </row>
    <row r="103" spans="1:10" ht="14.25" thickBot="1" thickTop="1">
      <c r="A103" s="151"/>
      <c r="B103" s="79" t="s">
        <v>221</v>
      </c>
      <c r="C103" s="79"/>
      <c r="D103" s="79"/>
      <c r="E103" s="79"/>
      <c r="F103" s="79"/>
      <c r="J103" s="79"/>
    </row>
    <row r="104" spans="1:10" ht="14.25" thickBot="1" thickTop="1">
      <c r="A104" s="151"/>
      <c r="B104" s="148" t="s">
        <v>214</v>
      </c>
      <c r="C104" s="148"/>
      <c r="D104" s="148"/>
      <c r="E104" s="148"/>
      <c r="F104" s="145"/>
      <c r="J104" s="145" t="s">
        <v>218</v>
      </c>
    </row>
    <row r="105" spans="1:10" ht="14.25" thickBot="1" thickTop="1">
      <c r="A105" s="151"/>
      <c r="B105" s="147" t="s">
        <v>133</v>
      </c>
      <c r="C105" s="147"/>
      <c r="D105" s="147"/>
      <c r="E105" s="147"/>
      <c r="F105" s="146"/>
      <c r="J105" s="146">
        <v>250</v>
      </c>
    </row>
    <row r="106" spans="1:10" ht="14.25" thickBot="1" thickTop="1">
      <c r="A106" s="151"/>
      <c r="B106" s="148" t="s">
        <v>134</v>
      </c>
      <c r="C106" s="148"/>
      <c r="D106" s="148"/>
      <c r="E106" s="148"/>
      <c r="F106" s="145"/>
      <c r="J106" s="145">
        <v>100</v>
      </c>
    </row>
    <row r="107" spans="1:10" ht="14.25" thickBot="1" thickTop="1">
      <c r="A107" s="151"/>
      <c r="B107" s="143" t="s">
        <v>217</v>
      </c>
      <c r="C107" s="143"/>
      <c r="D107" s="143"/>
      <c r="E107" s="143"/>
      <c r="F107" s="79"/>
      <c r="J107" s="79">
        <f>SUM(J104:J106)</f>
        <v>350</v>
      </c>
    </row>
    <row r="108" spans="1:10" ht="14.25" thickBot="1" thickTop="1">
      <c r="A108" s="151"/>
      <c r="B108" s="149" t="s">
        <v>16</v>
      </c>
      <c r="C108" s="149"/>
      <c r="D108" s="149"/>
      <c r="E108" s="149"/>
      <c r="F108" s="80"/>
      <c r="J108" s="80">
        <f>+J107+J102</f>
        <v>907</v>
      </c>
    </row>
    <row r="109" ht="13.5" thickTop="1">
      <c r="A109" s="151"/>
    </row>
    <row r="110" spans="1:10" ht="12.75">
      <c r="A110" s="151"/>
      <c r="B110" s="33" t="s">
        <v>222</v>
      </c>
      <c r="C110" s="33"/>
      <c r="D110" s="33"/>
      <c r="E110" s="33"/>
      <c r="F110" s="33"/>
      <c r="J110" s="33"/>
    </row>
    <row r="111" spans="1:10" ht="13.5" thickBot="1">
      <c r="A111" s="151"/>
      <c r="B111" s="148" t="s">
        <v>213</v>
      </c>
      <c r="C111" s="156"/>
      <c r="D111" s="156"/>
      <c r="E111" s="156"/>
      <c r="F111" s="33"/>
      <c r="J111" s="33" t="s">
        <v>224</v>
      </c>
    </row>
    <row r="112" spans="1:10" ht="14.25" thickBot="1" thickTop="1">
      <c r="A112" s="151"/>
      <c r="B112" s="147" t="s">
        <v>212</v>
      </c>
      <c r="C112" s="157"/>
      <c r="D112" s="157"/>
      <c r="E112" s="157"/>
      <c r="F112" s="33"/>
      <c r="J112" s="33"/>
    </row>
    <row r="113" spans="1:10" ht="14.25" thickBot="1" thickTop="1">
      <c r="A113" s="151"/>
      <c r="B113" s="148" t="s">
        <v>132</v>
      </c>
      <c r="C113" s="156"/>
      <c r="D113" s="156"/>
      <c r="E113" s="156"/>
      <c r="F113" s="33"/>
      <c r="J113" s="33"/>
    </row>
    <row r="114" spans="1:10" ht="14.25" thickBot="1" thickTop="1">
      <c r="A114" s="151"/>
      <c r="B114" s="147" t="s">
        <v>135</v>
      </c>
      <c r="C114" s="157"/>
      <c r="D114" s="157"/>
      <c r="E114" s="157"/>
      <c r="F114" s="33"/>
      <c r="J114" s="33"/>
    </row>
    <row r="115" spans="1:10" ht="14.25" thickBot="1" thickTop="1">
      <c r="A115" s="151"/>
      <c r="B115" s="148" t="s">
        <v>215</v>
      </c>
      <c r="C115" s="156"/>
      <c r="D115" s="156"/>
      <c r="E115" s="156"/>
      <c r="F115" s="33"/>
      <c r="J115" s="33"/>
    </row>
    <row r="116" spans="1:10" ht="14.25" thickBot="1" thickTop="1">
      <c r="A116" s="151"/>
      <c r="B116" s="147" t="s">
        <v>223</v>
      </c>
      <c r="C116" s="157"/>
      <c r="D116" s="157"/>
      <c r="E116" s="157"/>
      <c r="F116" s="33"/>
      <c r="J116" s="33"/>
    </row>
    <row r="117" spans="1:10" ht="14.25" thickBot="1" thickTop="1">
      <c r="A117" s="151"/>
      <c r="B117" s="149" t="s">
        <v>225</v>
      </c>
      <c r="C117" s="158"/>
      <c r="D117" s="158"/>
      <c r="E117" s="158"/>
      <c r="F117" s="33"/>
      <c r="J117" s="33"/>
    </row>
    <row r="118" spans="1:10" ht="13.5" thickTop="1">
      <c r="A118" s="151"/>
      <c r="B118" s="33"/>
      <c r="C118" s="33"/>
      <c r="D118" s="33"/>
      <c r="E118" s="33"/>
      <c r="F118" s="33"/>
      <c r="J118" s="33"/>
    </row>
    <row r="119" spans="1:10" ht="12.75">
      <c r="A119" s="151"/>
      <c r="B119" s="33" t="s">
        <v>226</v>
      </c>
      <c r="F119" s="33"/>
      <c r="J119" s="192">
        <v>1083.3</v>
      </c>
    </row>
    <row r="120" ht="12.75">
      <c r="A120" s="151"/>
    </row>
    <row r="121" spans="1:8" ht="12.75" hidden="1" outlineLevel="1">
      <c r="A121" s="151"/>
      <c r="B121" s="32">
        <v>2007</v>
      </c>
      <c r="H121" s="44">
        <v>0.67</v>
      </c>
    </row>
    <row r="122" spans="1:13" ht="13.5" hidden="1" outlineLevel="1" thickBot="1">
      <c r="A122" s="151"/>
      <c r="B122" s="1" t="s">
        <v>8</v>
      </c>
      <c r="C122" s="1"/>
      <c r="D122" s="1"/>
      <c r="E122" s="1"/>
      <c r="F122" s="1"/>
      <c r="G122" s="1"/>
      <c r="H122" s="15" t="s">
        <v>30</v>
      </c>
      <c r="I122" s="15" t="s">
        <v>22</v>
      </c>
      <c r="J122" s="15" t="s">
        <v>23</v>
      </c>
      <c r="K122" s="15"/>
      <c r="L122" s="15" t="s">
        <v>24</v>
      </c>
      <c r="M122" s="16" t="s">
        <v>52</v>
      </c>
    </row>
    <row r="123" spans="1:14" ht="14.25" hidden="1" outlineLevel="1" thickBot="1" thickTop="1">
      <c r="A123" s="151"/>
      <c r="B123" s="2"/>
      <c r="C123" s="2"/>
      <c r="D123" s="2"/>
      <c r="E123" s="2"/>
      <c r="F123" s="2"/>
      <c r="G123" s="2"/>
      <c r="H123" s="3">
        <v>2007</v>
      </c>
      <c r="I123" s="3">
        <v>2007</v>
      </c>
      <c r="J123" s="3">
        <v>2007</v>
      </c>
      <c r="K123" s="3"/>
      <c r="L123" s="3">
        <v>2007</v>
      </c>
      <c r="M123" s="4">
        <v>2007</v>
      </c>
      <c r="N123" s="32" t="s">
        <v>25</v>
      </c>
    </row>
    <row r="124" spans="1:13" ht="14.25" hidden="1" outlineLevel="1" thickBot="1" thickTop="1">
      <c r="A124" s="151"/>
      <c r="B124" s="5" t="s">
        <v>31</v>
      </c>
      <c r="C124" s="5"/>
      <c r="D124" s="5"/>
      <c r="E124" s="5"/>
      <c r="F124" s="5"/>
      <c r="G124" s="5"/>
      <c r="H124" s="6">
        <v>0.353</v>
      </c>
      <c r="I124" s="6">
        <v>0.38</v>
      </c>
      <c r="J124" s="6">
        <v>0.071</v>
      </c>
      <c r="K124" s="6"/>
      <c r="L124" s="6">
        <v>0.196</v>
      </c>
      <c r="M124" s="7"/>
    </row>
    <row r="125" spans="1:13" ht="14.25" hidden="1" outlineLevel="1" thickBot="1" thickTop="1">
      <c r="A125" s="151"/>
      <c r="B125" s="8" t="s">
        <v>21</v>
      </c>
      <c r="C125" s="8"/>
      <c r="D125" s="8"/>
      <c r="E125" s="8"/>
      <c r="F125" s="8"/>
      <c r="G125" s="8"/>
      <c r="H125" s="9">
        <v>0.311</v>
      </c>
      <c r="I125" s="9">
        <v>0.37</v>
      </c>
      <c r="J125" s="9">
        <v>0.051</v>
      </c>
      <c r="K125" s="9"/>
      <c r="L125" s="9">
        <v>0.268</v>
      </c>
      <c r="M125" s="4"/>
    </row>
    <row r="126" spans="1:13" ht="14.25" hidden="1" outlineLevel="1" thickBot="1" thickTop="1">
      <c r="A126" s="151"/>
      <c r="B126" s="5" t="s">
        <v>26</v>
      </c>
      <c r="C126" s="5"/>
      <c r="D126" s="5"/>
      <c r="E126" s="5"/>
      <c r="F126" s="5"/>
      <c r="G126" s="5"/>
      <c r="H126" s="6">
        <v>0.44</v>
      </c>
      <c r="I126" s="6">
        <v>0.459</v>
      </c>
      <c r="J126" s="6">
        <v>0.049</v>
      </c>
      <c r="K126" s="6"/>
      <c r="L126" s="6">
        <v>0.053</v>
      </c>
      <c r="M126" s="10">
        <v>0.44</v>
      </c>
    </row>
    <row r="127" spans="1:13" ht="14.25" hidden="1" outlineLevel="1" thickBot="1" thickTop="1">
      <c r="A127" s="151"/>
      <c r="B127" s="8" t="s">
        <v>32</v>
      </c>
      <c r="C127" s="8"/>
      <c r="D127" s="8"/>
      <c r="E127" s="8"/>
      <c r="F127" s="8"/>
      <c r="G127" s="8"/>
      <c r="H127" s="9">
        <v>0.235</v>
      </c>
      <c r="I127" s="9">
        <v>0.318</v>
      </c>
      <c r="J127" s="9">
        <v>0.106</v>
      </c>
      <c r="K127" s="9"/>
      <c r="L127" s="9">
        <v>0.341</v>
      </c>
      <c r="M127" s="11"/>
    </row>
    <row r="128" spans="1:13" ht="14.25" hidden="1" outlineLevel="1" thickBot="1" thickTop="1">
      <c r="A128" s="151"/>
      <c r="B128" s="5" t="s">
        <v>29</v>
      </c>
      <c r="C128" s="5"/>
      <c r="D128" s="5"/>
      <c r="E128" s="5"/>
      <c r="F128" s="5"/>
      <c r="G128" s="5"/>
      <c r="H128" s="6">
        <v>0.101</v>
      </c>
      <c r="I128" s="6">
        <v>0.286</v>
      </c>
      <c r="J128" s="6">
        <v>0.083</v>
      </c>
      <c r="K128" s="6"/>
      <c r="L128" s="6">
        <v>0.53</v>
      </c>
      <c r="M128" s="10">
        <v>0.293</v>
      </c>
    </row>
    <row r="129" spans="1:13" ht="14.25" hidden="1" outlineLevel="1" thickBot="1" thickTop="1">
      <c r="A129" s="151"/>
      <c r="B129" s="8" t="s">
        <v>33</v>
      </c>
      <c r="C129" s="8"/>
      <c r="D129" s="8"/>
      <c r="E129" s="8"/>
      <c r="F129" s="8"/>
      <c r="G129" s="8"/>
      <c r="H129" s="9">
        <v>0.131</v>
      </c>
      <c r="I129" s="9">
        <v>0.332</v>
      </c>
      <c r="J129" s="9">
        <v>0.093</v>
      </c>
      <c r="K129" s="9"/>
      <c r="L129" s="9">
        <v>0.444</v>
      </c>
      <c r="M129" s="11">
        <v>0.313</v>
      </c>
    </row>
    <row r="130" spans="1:13" ht="14.25" hidden="1" outlineLevel="1" thickBot="1" thickTop="1">
      <c r="A130" s="151"/>
      <c r="B130" s="5" t="s">
        <v>34</v>
      </c>
      <c r="C130" s="5"/>
      <c r="D130" s="5"/>
      <c r="E130" s="5"/>
      <c r="F130" s="5"/>
      <c r="G130" s="5"/>
      <c r="H130" s="6">
        <v>0.159</v>
      </c>
      <c r="I130" s="6">
        <v>0.385</v>
      </c>
      <c r="J130" s="6">
        <v>0.071</v>
      </c>
      <c r="K130" s="6"/>
      <c r="L130" s="6">
        <v>0.385</v>
      </c>
      <c r="M130" s="10"/>
    </row>
    <row r="131" spans="1:13" ht="14.25" hidden="1" outlineLevel="1" thickBot="1" thickTop="1">
      <c r="A131" s="151"/>
      <c r="B131" s="8" t="s">
        <v>35</v>
      </c>
      <c r="C131" s="8"/>
      <c r="D131" s="8"/>
      <c r="E131" s="8"/>
      <c r="F131" s="8"/>
      <c r="G131" s="8"/>
      <c r="H131" s="9">
        <v>0.271</v>
      </c>
      <c r="I131" s="9">
        <v>0.364</v>
      </c>
      <c r="J131" s="9">
        <v>0.114</v>
      </c>
      <c r="K131" s="9"/>
      <c r="L131" s="9">
        <v>0.25</v>
      </c>
      <c r="M131" s="4"/>
    </row>
    <row r="132" spans="1:13" ht="14.25" hidden="1" outlineLevel="1" thickBot="1" thickTop="1">
      <c r="A132" s="151"/>
      <c r="B132" s="5" t="s">
        <v>36</v>
      </c>
      <c r="C132" s="5"/>
      <c r="D132" s="5"/>
      <c r="E132" s="5"/>
      <c r="F132" s="5"/>
      <c r="G132" s="5"/>
      <c r="H132" s="6">
        <v>0.118</v>
      </c>
      <c r="I132" s="6">
        <v>0.268</v>
      </c>
      <c r="J132" s="6">
        <v>0.127</v>
      </c>
      <c r="K132" s="6"/>
      <c r="L132" s="6">
        <v>0.487</v>
      </c>
      <c r="M132" s="7"/>
    </row>
    <row r="133" spans="1:13" ht="14.25" hidden="1" outlineLevel="1" thickBot="1" thickTop="1">
      <c r="A133" s="151"/>
      <c r="B133" s="8" t="s">
        <v>27</v>
      </c>
      <c r="C133" s="8"/>
      <c r="D133" s="8"/>
      <c r="E133" s="8"/>
      <c r="F133" s="8"/>
      <c r="G133" s="8"/>
      <c r="H133" s="9"/>
      <c r="I133" s="9"/>
      <c r="J133" s="9"/>
      <c r="K133" s="9"/>
      <c r="L133" s="9"/>
      <c r="M133" s="4"/>
    </row>
    <row r="134" spans="1:13" ht="13.5" hidden="1" outlineLevel="1" thickTop="1">
      <c r="A134" s="151"/>
      <c r="B134" s="12" t="s">
        <v>28</v>
      </c>
      <c r="C134" s="12"/>
      <c r="D134" s="12"/>
      <c r="E134" s="12"/>
      <c r="F134" s="12"/>
      <c r="G134" s="12"/>
      <c r="H134" s="13"/>
      <c r="I134" s="13"/>
      <c r="J134" s="13"/>
      <c r="K134" s="13"/>
      <c r="L134" s="13"/>
      <c r="M134" s="14"/>
    </row>
    <row r="135" ht="12.75" hidden="1" outlineLevel="1">
      <c r="A135" s="151"/>
    </row>
    <row r="136" ht="12.75" hidden="1" outlineLevel="1">
      <c r="A136" s="151"/>
    </row>
    <row r="137" spans="1:17" ht="26.25" hidden="1" outlineLevel="1" thickBot="1">
      <c r="A137" s="151"/>
      <c r="B137" s="1" t="s">
        <v>8</v>
      </c>
      <c r="C137" s="1"/>
      <c r="D137" s="1"/>
      <c r="E137" s="1"/>
      <c r="F137" s="1"/>
      <c r="G137" s="1"/>
      <c r="H137" s="15" t="s">
        <v>61</v>
      </c>
      <c r="I137" s="15" t="s">
        <v>30</v>
      </c>
      <c r="J137" s="15" t="s">
        <v>22</v>
      </c>
      <c r="K137" s="15"/>
      <c r="L137" s="15" t="s">
        <v>23</v>
      </c>
      <c r="M137" s="15" t="s">
        <v>24</v>
      </c>
      <c r="N137" s="16" t="s">
        <v>52</v>
      </c>
      <c r="O137" s="16" t="s">
        <v>58</v>
      </c>
      <c r="P137" s="16" t="s">
        <v>25</v>
      </c>
      <c r="Q137" s="16" t="s">
        <v>24</v>
      </c>
    </row>
    <row r="138" spans="1:17" ht="14.25" hidden="1" outlineLevel="1" thickBot="1" thickTop="1">
      <c r="A138" s="151"/>
      <c r="B138" s="2"/>
      <c r="C138" s="2"/>
      <c r="D138" s="2"/>
      <c r="E138" s="2"/>
      <c r="F138" s="2"/>
      <c r="G138" s="2"/>
      <c r="H138" s="31">
        <v>2007</v>
      </c>
      <c r="I138" s="31">
        <v>2007</v>
      </c>
      <c r="J138" s="31">
        <v>2007</v>
      </c>
      <c r="K138" s="31"/>
      <c r="L138" s="31">
        <v>2007</v>
      </c>
      <c r="M138" s="31">
        <v>2007</v>
      </c>
      <c r="N138" s="7">
        <v>2007</v>
      </c>
      <c r="O138" s="7">
        <v>2007</v>
      </c>
      <c r="P138" s="7">
        <v>2007</v>
      </c>
      <c r="Q138" s="4">
        <v>2007</v>
      </c>
    </row>
    <row r="139" spans="1:17" ht="14.25" hidden="1" outlineLevel="1" thickBot="1" thickTop="1">
      <c r="A139" s="151"/>
      <c r="B139" s="8" t="s">
        <v>57</v>
      </c>
      <c r="C139" s="8"/>
      <c r="D139" s="8"/>
      <c r="E139" s="8"/>
      <c r="F139" s="8"/>
      <c r="G139" s="8"/>
      <c r="H139" s="9"/>
      <c r="I139" s="9"/>
      <c r="J139" s="9"/>
      <c r="K139" s="9"/>
      <c r="L139" s="9"/>
      <c r="M139" s="9"/>
      <c r="N139" s="11">
        <v>0.812</v>
      </c>
      <c r="O139" s="11">
        <v>0.141</v>
      </c>
      <c r="P139" s="11">
        <v>0.032</v>
      </c>
      <c r="Q139" s="11">
        <v>0.014</v>
      </c>
    </row>
    <row r="140" spans="1:17" ht="14.25" hidden="1" outlineLevel="1" thickBot="1" thickTop="1">
      <c r="A140" s="151"/>
      <c r="B140" s="5" t="s">
        <v>31</v>
      </c>
      <c r="C140" s="5"/>
      <c r="D140" s="5"/>
      <c r="E140" s="5"/>
      <c r="F140" s="5"/>
      <c r="G140" s="5"/>
      <c r="H140" s="6">
        <v>0.733</v>
      </c>
      <c r="I140" s="6">
        <v>0.353</v>
      </c>
      <c r="J140" s="6">
        <v>0.38</v>
      </c>
      <c r="K140" s="6"/>
      <c r="L140" s="6">
        <v>0.071</v>
      </c>
      <c r="M140" s="6">
        <v>0.196</v>
      </c>
      <c r="N140" s="10"/>
      <c r="O140" s="10"/>
      <c r="P140" s="10"/>
      <c r="Q140" s="10"/>
    </row>
    <row r="141" spans="1:17" ht="14.25" hidden="1" outlineLevel="1" thickBot="1" thickTop="1">
      <c r="A141" s="151"/>
      <c r="B141" s="8" t="s">
        <v>53</v>
      </c>
      <c r="C141" s="8"/>
      <c r="D141" s="8"/>
      <c r="E141" s="8"/>
      <c r="F141" s="8"/>
      <c r="G141" s="8"/>
      <c r="H141" s="9">
        <v>0.378</v>
      </c>
      <c r="I141" s="9">
        <v>0.176</v>
      </c>
      <c r="J141" s="9">
        <v>0.202</v>
      </c>
      <c r="K141" s="9"/>
      <c r="L141" s="9">
        <v>0.059</v>
      </c>
      <c r="M141" s="9">
        <v>0.563</v>
      </c>
      <c r="N141" s="11">
        <v>0.626</v>
      </c>
      <c r="O141" s="11">
        <v>0.209</v>
      </c>
      <c r="P141" s="11">
        <v>0.07</v>
      </c>
      <c r="Q141" s="11">
        <v>0.095</v>
      </c>
    </row>
    <row r="142" spans="1:17" ht="14.25" hidden="1" outlineLevel="1" thickBot="1" thickTop="1">
      <c r="A142" s="151"/>
      <c r="B142" s="5" t="s">
        <v>26</v>
      </c>
      <c r="C142" s="5"/>
      <c r="D142" s="5"/>
      <c r="E142" s="5"/>
      <c r="F142" s="5"/>
      <c r="G142" s="5"/>
      <c r="H142" s="6">
        <v>0.899</v>
      </c>
      <c r="I142" s="6">
        <v>0.44</v>
      </c>
      <c r="J142" s="6">
        <v>0.459</v>
      </c>
      <c r="K142" s="6"/>
      <c r="L142" s="6">
        <v>0.049</v>
      </c>
      <c r="M142" s="6">
        <v>0.053</v>
      </c>
      <c r="N142" s="10">
        <v>0.44</v>
      </c>
      <c r="O142" s="10">
        <v>0.44</v>
      </c>
      <c r="P142" s="10">
        <v>0.44</v>
      </c>
      <c r="Q142" s="10">
        <v>0.44</v>
      </c>
    </row>
    <row r="143" spans="1:17" ht="14.25" hidden="1" outlineLevel="1" thickBot="1" thickTop="1">
      <c r="A143" s="151"/>
      <c r="B143" s="8" t="s">
        <v>32</v>
      </c>
      <c r="C143" s="8"/>
      <c r="D143" s="8"/>
      <c r="E143" s="8"/>
      <c r="F143" s="8"/>
      <c r="G143" s="8"/>
      <c r="H143" s="9">
        <v>0.5529999999999999</v>
      </c>
      <c r="I143" s="9">
        <v>0.235</v>
      </c>
      <c r="J143" s="9">
        <v>0.318</v>
      </c>
      <c r="K143" s="9"/>
      <c r="L143" s="9">
        <v>0.106</v>
      </c>
      <c r="M143" s="9">
        <v>0.341</v>
      </c>
      <c r="N143" s="11"/>
      <c r="O143" s="11"/>
      <c r="P143" s="11"/>
      <c r="Q143" s="11"/>
    </row>
    <row r="144" spans="1:17" ht="14.25" hidden="1" outlineLevel="1" thickBot="1" thickTop="1">
      <c r="A144" s="151"/>
      <c r="B144" s="5" t="s">
        <v>54</v>
      </c>
      <c r="C144" s="5"/>
      <c r="D144" s="5"/>
      <c r="E144" s="5"/>
      <c r="F144" s="5"/>
      <c r="G144" s="5"/>
      <c r="H144" s="6">
        <v>0.737</v>
      </c>
      <c r="I144" s="6">
        <v>0.381</v>
      </c>
      <c r="J144" s="6">
        <v>0.356</v>
      </c>
      <c r="K144" s="6"/>
      <c r="L144" s="6">
        <v>0.065</v>
      </c>
      <c r="M144" s="6">
        <v>0.198</v>
      </c>
      <c r="N144" s="10">
        <v>0.483</v>
      </c>
      <c r="O144" s="10">
        <v>0.351</v>
      </c>
      <c r="P144" s="10">
        <v>0.103</v>
      </c>
      <c r="Q144" s="10">
        <v>0.063</v>
      </c>
    </row>
    <row r="145" spans="1:17" ht="14.25" hidden="1" outlineLevel="1" thickBot="1" thickTop="1">
      <c r="A145" s="151"/>
      <c r="B145" s="8" t="s">
        <v>55</v>
      </c>
      <c r="C145" s="8"/>
      <c r="D145" s="8"/>
      <c r="E145" s="8"/>
      <c r="F145" s="8"/>
      <c r="G145" s="8"/>
      <c r="H145" s="9">
        <v>0.513</v>
      </c>
      <c r="I145" s="9">
        <v>0.283</v>
      </c>
      <c r="J145" s="9">
        <v>0.23</v>
      </c>
      <c r="K145" s="9"/>
      <c r="L145" s="9">
        <v>0.037</v>
      </c>
      <c r="M145" s="9">
        <v>0.451</v>
      </c>
      <c r="N145" s="11">
        <v>0.483</v>
      </c>
      <c r="O145" s="11">
        <v>0.351</v>
      </c>
      <c r="P145" s="11">
        <v>0.103</v>
      </c>
      <c r="Q145" s="11">
        <v>0.063</v>
      </c>
    </row>
    <row r="146" spans="1:17" ht="14.25" hidden="1" outlineLevel="1" thickBot="1" thickTop="1">
      <c r="A146" s="151"/>
      <c r="B146" s="5" t="s">
        <v>28</v>
      </c>
      <c r="C146" s="5"/>
      <c r="D146" s="5"/>
      <c r="E146" s="5"/>
      <c r="F146" s="5"/>
      <c r="G146" s="5"/>
      <c r="H146" s="6"/>
      <c r="I146" s="6"/>
      <c r="J146" s="6"/>
      <c r="K146" s="6"/>
      <c r="L146" s="6"/>
      <c r="M146" s="6"/>
      <c r="N146" s="10"/>
      <c r="O146" s="10"/>
      <c r="P146" s="10"/>
      <c r="Q146" s="10"/>
    </row>
    <row r="147" spans="1:14" ht="14.25" hidden="1" outlineLevel="1" thickBot="1" thickTop="1">
      <c r="A147" s="151"/>
      <c r="B147" s="8" t="s">
        <v>56</v>
      </c>
      <c r="C147" s="8"/>
      <c r="D147" s="8"/>
      <c r="E147" s="8"/>
      <c r="F147" s="8"/>
      <c r="G147" s="8"/>
      <c r="H147" s="9"/>
      <c r="I147" s="9"/>
      <c r="J147" s="9"/>
      <c r="K147" s="9"/>
      <c r="L147" s="9"/>
      <c r="M147" s="9"/>
      <c r="N147" s="4"/>
    </row>
    <row r="148" spans="1:14" ht="14.25" hidden="1" outlineLevel="1" thickBot="1" thickTop="1">
      <c r="A148" s="151"/>
      <c r="B148" s="5"/>
      <c r="C148" s="5"/>
      <c r="D148" s="5"/>
      <c r="E148" s="5"/>
      <c r="F148" s="5"/>
      <c r="G148" s="5"/>
      <c r="H148" s="6"/>
      <c r="I148" s="6"/>
      <c r="J148" s="6"/>
      <c r="K148" s="6"/>
      <c r="L148" s="6"/>
      <c r="M148" s="6"/>
      <c r="N148" s="7"/>
    </row>
    <row r="149" spans="1:15" ht="27" hidden="1" outlineLevel="1" thickBot="1" thickTop="1">
      <c r="A149" s="151"/>
      <c r="B149" s="1" t="s">
        <v>8</v>
      </c>
      <c r="C149" s="1"/>
      <c r="D149" s="1"/>
      <c r="E149" s="1"/>
      <c r="F149" s="1"/>
      <c r="G149" s="1"/>
      <c r="H149" s="15" t="s">
        <v>61</v>
      </c>
      <c r="I149" s="15" t="s">
        <v>23</v>
      </c>
      <c r="J149" s="15" t="s">
        <v>24</v>
      </c>
      <c r="K149" s="16"/>
      <c r="L149" s="16" t="s">
        <v>52</v>
      </c>
      <c r="M149" s="16" t="s">
        <v>58</v>
      </c>
      <c r="N149" s="16" t="s">
        <v>25</v>
      </c>
      <c r="O149" s="16" t="s">
        <v>24</v>
      </c>
    </row>
    <row r="150" spans="1:15" ht="14.25" hidden="1" outlineLevel="1" thickBot="1" thickTop="1">
      <c r="A150" s="151"/>
      <c r="B150" s="2"/>
      <c r="C150" s="2"/>
      <c r="D150" s="2"/>
      <c r="E150" s="2"/>
      <c r="F150" s="2"/>
      <c r="G150" s="2"/>
      <c r="H150" s="31">
        <v>2007</v>
      </c>
      <c r="I150" s="31">
        <v>2007</v>
      </c>
      <c r="J150" s="31">
        <v>2007</v>
      </c>
      <c r="K150" s="7"/>
      <c r="L150" s="7">
        <v>2007</v>
      </c>
      <c r="M150" s="7">
        <v>2007</v>
      </c>
      <c r="N150" s="7">
        <v>2007</v>
      </c>
      <c r="O150" s="4">
        <v>2007</v>
      </c>
    </row>
    <row r="151" spans="1:15" ht="14.25" hidden="1" outlineLevel="1" thickBot="1" thickTop="1">
      <c r="A151" s="151"/>
      <c r="B151" s="8" t="s">
        <v>57</v>
      </c>
      <c r="C151" s="8"/>
      <c r="D151" s="8"/>
      <c r="E151" s="8"/>
      <c r="F151" s="8"/>
      <c r="G151" s="8"/>
      <c r="H151" s="9"/>
      <c r="I151" s="9"/>
      <c r="J151" s="9"/>
      <c r="K151" s="72"/>
      <c r="L151" s="11">
        <v>0.812</v>
      </c>
      <c r="M151" s="11">
        <v>0.141</v>
      </c>
      <c r="N151" s="11">
        <v>0.032</v>
      </c>
      <c r="O151" s="11">
        <v>0.014</v>
      </c>
    </row>
    <row r="152" spans="1:15" ht="14.25" hidden="1" outlineLevel="1" thickBot="1" thickTop="1">
      <c r="A152" s="151"/>
      <c r="B152" s="5" t="s">
        <v>31</v>
      </c>
      <c r="C152" s="5"/>
      <c r="D152" s="5"/>
      <c r="E152" s="5"/>
      <c r="F152" s="5"/>
      <c r="G152" s="5"/>
      <c r="H152" s="6">
        <v>0.733</v>
      </c>
      <c r="I152" s="6">
        <v>0.071</v>
      </c>
      <c r="J152" s="6">
        <v>0.196</v>
      </c>
      <c r="K152" s="73"/>
      <c r="L152" s="10"/>
      <c r="M152" s="10"/>
      <c r="N152" s="10"/>
      <c r="O152" s="10"/>
    </row>
    <row r="153" spans="1:15" ht="14.25" hidden="1" outlineLevel="1" thickBot="1" thickTop="1">
      <c r="A153" s="151"/>
      <c r="B153" s="8" t="s">
        <v>53</v>
      </c>
      <c r="C153" s="8"/>
      <c r="D153" s="8"/>
      <c r="E153" s="8"/>
      <c r="F153" s="8"/>
      <c r="G153" s="8"/>
      <c r="H153" s="9">
        <v>0.378</v>
      </c>
      <c r="I153" s="9">
        <v>0.059</v>
      </c>
      <c r="J153" s="9">
        <v>0.563</v>
      </c>
      <c r="K153" s="72"/>
      <c r="L153" s="11">
        <v>0.626</v>
      </c>
      <c r="M153" s="11">
        <v>0.209</v>
      </c>
      <c r="N153" s="11">
        <v>0.07</v>
      </c>
      <c r="O153" s="11">
        <v>0.095</v>
      </c>
    </row>
    <row r="154" spans="1:15" ht="14.25" hidden="1" outlineLevel="1" thickBot="1" thickTop="1">
      <c r="A154" s="151"/>
      <c r="B154" s="5" t="s">
        <v>26</v>
      </c>
      <c r="C154" s="5"/>
      <c r="D154" s="5"/>
      <c r="E154" s="5"/>
      <c r="F154" s="5"/>
      <c r="G154" s="5"/>
      <c r="H154" s="6">
        <v>0.899</v>
      </c>
      <c r="I154" s="6">
        <v>0.049</v>
      </c>
      <c r="J154" s="6">
        <v>0.053</v>
      </c>
      <c r="K154" s="73"/>
      <c r="L154" s="10">
        <v>0.44</v>
      </c>
      <c r="M154" s="10">
        <v>0.44</v>
      </c>
      <c r="N154" s="10">
        <v>0.44</v>
      </c>
      <c r="O154" s="10">
        <v>0.44</v>
      </c>
    </row>
    <row r="155" spans="1:15" ht="14.25" hidden="1" outlineLevel="1" thickBot="1" thickTop="1">
      <c r="A155" s="151"/>
      <c r="B155" s="8" t="s">
        <v>32</v>
      </c>
      <c r="C155" s="8"/>
      <c r="D155" s="8"/>
      <c r="E155" s="8"/>
      <c r="F155" s="8"/>
      <c r="G155" s="8"/>
      <c r="H155" s="9">
        <v>0.5529999999999999</v>
      </c>
      <c r="I155" s="9">
        <v>0.106</v>
      </c>
      <c r="J155" s="9">
        <v>0.341</v>
      </c>
      <c r="K155" s="72"/>
      <c r="L155" s="11"/>
      <c r="M155" s="11"/>
      <c r="N155" s="11"/>
      <c r="O155" s="11"/>
    </row>
    <row r="156" spans="1:15" ht="14.25" hidden="1" outlineLevel="1" thickBot="1" thickTop="1">
      <c r="A156" s="151"/>
      <c r="B156" s="5" t="s">
        <v>54</v>
      </c>
      <c r="C156" s="5"/>
      <c r="D156" s="5"/>
      <c r="E156" s="5"/>
      <c r="F156" s="5"/>
      <c r="G156" s="5"/>
      <c r="H156" s="6">
        <v>0.737</v>
      </c>
      <c r="I156" s="6">
        <v>0.065</v>
      </c>
      <c r="J156" s="6">
        <v>0.198</v>
      </c>
      <c r="K156" s="73"/>
      <c r="L156" s="10">
        <v>0.483</v>
      </c>
      <c r="M156" s="10">
        <v>0.351</v>
      </c>
      <c r="N156" s="10">
        <v>0.103</v>
      </c>
      <c r="O156" s="10">
        <v>0.063</v>
      </c>
    </row>
    <row r="157" spans="1:15" ht="14.25" hidden="1" outlineLevel="1" thickBot="1" thickTop="1">
      <c r="A157" s="151"/>
      <c r="B157" s="8" t="s">
        <v>55</v>
      </c>
      <c r="C157" s="8"/>
      <c r="D157" s="8"/>
      <c r="E157" s="8"/>
      <c r="F157" s="8"/>
      <c r="G157" s="8"/>
      <c r="H157" s="9">
        <v>0.513</v>
      </c>
      <c r="I157" s="9">
        <v>0.037</v>
      </c>
      <c r="J157" s="9">
        <v>0.451</v>
      </c>
      <c r="K157" s="72"/>
      <c r="L157" s="11">
        <v>0.483</v>
      </c>
      <c r="M157" s="11">
        <v>0.351</v>
      </c>
      <c r="N157" s="11">
        <v>0.103</v>
      </c>
      <c r="O157" s="11">
        <v>0.063</v>
      </c>
    </row>
    <row r="158" spans="1:15" ht="14.25" hidden="1" outlineLevel="1" thickBot="1" thickTop="1">
      <c r="A158" s="151"/>
      <c r="B158" s="5" t="s">
        <v>28</v>
      </c>
      <c r="C158" s="5"/>
      <c r="D158" s="5"/>
      <c r="E158" s="5"/>
      <c r="F158" s="5"/>
      <c r="G158" s="5"/>
      <c r="H158" s="6"/>
      <c r="I158" s="6"/>
      <c r="J158" s="6"/>
      <c r="K158" s="73"/>
      <c r="L158" s="10"/>
      <c r="M158" s="10"/>
      <c r="N158" s="10"/>
      <c r="O158" s="10"/>
    </row>
    <row r="159" spans="1:14" ht="14.25" hidden="1" outlineLevel="1" thickBot="1" thickTop="1">
      <c r="A159" s="151"/>
      <c r="B159" s="8" t="s">
        <v>56</v>
      </c>
      <c r="C159" s="8"/>
      <c r="D159" s="8"/>
      <c r="E159" s="8"/>
      <c r="F159" s="8"/>
      <c r="G159" s="8"/>
      <c r="H159" s="9"/>
      <c r="I159" s="9"/>
      <c r="J159" s="9"/>
      <c r="K159" s="72"/>
      <c r="L159" s="4"/>
      <c r="M159" s="4"/>
      <c r="N159" s="4"/>
    </row>
    <row r="160" spans="1:12" ht="14.25" hidden="1" outlineLevel="1" thickBot="1" thickTop="1">
      <c r="A160" s="151"/>
      <c r="B160" s="8"/>
      <c r="C160" s="8"/>
      <c r="D160" s="8"/>
      <c r="E160" s="8"/>
      <c r="F160" s="8"/>
      <c r="G160" s="8"/>
      <c r="H160" s="9"/>
      <c r="I160" s="9"/>
      <c r="J160" s="9"/>
      <c r="K160" s="72"/>
      <c r="L160" s="4"/>
    </row>
    <row r="161" spans="1:12" ht="13.5" hidden="1" outlineLevel="1" thickTop="1">
      <c r="A161" s="151"/>
      <c r="B161" s="12"/>
      <c r="C161" s="12"/>
      <c r="D161" s="12"/>
      <c r="E161" s="12"/>
      <c r="F161" s="12"/>
      <c r="G161" s="12"/>
      <c r="H161" s="13"/>
      <c r="I161" s="13"/>
      <c r="J161" s="13"/>
      <c r="K161" s="74"/>
      <c r="L161" s="14"/>
    </row>
    <row r="162" spans="1:15" ht="12.75" collapsed="1">
      <c r="A162" s="151"/>
      <c r="O162" s="32">
        <f>I165/H165-1</f>
        <v>0.19855648731971498</v>
      </c>
    </row>
    <row r="163" spans="1:15" ht="18">
      <c r="A163" s="43"/>
      <c r="B163" s="136" t="s">
        <v>227</v>
      </c>
      <c r="C163" s="136"/>
      <c r="D163" s="136"/>
      <c r="E163" s="136"/>
      <c r="O163" s="36">
        <f>I165-H165</f>
        <v>1046900</v>
      </c>
    </row>
    <row r="164" ht="12.75">
      <c r="A164" s="43"/>
    </row>
    <row r="165" spans="1:10" s="33" customFormat="1" ht="12.75">
      <c r="A165" s="159"/>
      <c r="B165" s="33" t="s">
        <v>38</v>
      </c>
      <c r="C165" s="33">
        <v>1655158</v>
      </c>
      <c r="D165" s="33">
        <v>1535948</v>
      </c>
      <c r="E165" s="33">
        <v>1948029</v>
      </c>
      <c r="F165" s="76">
        <v>2116333</v>
      </c>
      <c r="G165" s="76">
        <v>4483560</v>
      </c>
      <c r="H165" s="76">
        <v>5272555</v>
      </c>
      <c r="I165" s="76">
        <v>6319455</v>
      </c>
      <c r="J165" s="59">
        <v>7133744</v>
      </c>
    </row>
    <row r="166" spans="1:10" s="33" customFormat="1" ht="12.75">
      <c r="A166" s="159"/>
      <c r="B166" s="33" t="s">
        <v>73</v>
      </c>
      <c r="F166" s="76"/>
      <c r="G166" s="59">
        <v>2999794</v>
      </c>
      <c r="H166" s="59">
        <v>3350083</v>
      </c>
      <c r="I166" s="59">
        <v>3982330</v>
      </c>
      <c r="J166" s="59">
        <v>4512763</v>
      </c>
    </row>
    <row r="167" spans="1:10" s="33" customFormat="1" ht="12.75">
      <c r="A167" s="159"/>
      <c r="F167" s="76"/>
      <c r="G167" s="59"/>
      <c r="H167" s="59"/>
      <c r="I167" s="59"/>
      <c r="J167" s="59"/>
    </row>
    <row r="168" spans="1:12" ht="12.75">
      <c r="A168" s="43"/>
      <c r="B168" s="32" t="s">
        <v>62</v>
      </c>
      <c r="G168" s="36">
        <f>849850+4050+14307+8935</f>
        <v>877142</v>
      </c>
      <c r="H168" s="36">
        <f>888799+283+12934+31245+15938+701</f>
        <v>949900</v>
      </c>
      <c r="I168" s="36">
        <f>996946+17272+32752+14938+895</f>
        <v>1062803</v>
      </c>
      <c r="J168" s="36">
        <v>1189886</v>
      </c>
      <c r="L168" s="41">
        <f>+J168/I168-1</f>
        <v>0.11957342988305442</v>
      </c>
    </row>
    <row r="169" spans="1:12" ht="12.75">
      <c r="A169" s="43"/>
      <c r="B169" s="32" t="s">
        <v>123</v>
      </c>
      <c r="G169" s="36"/>
      <c r="H169" s="36"/>
      <c r="I169" s="36"/>
      <c r="J169" s="36">
        <v>18462</v>
      </c>
      <c r="L169" s="41"/>
    </row>
    <row r="170" spans="1:12" ht="12.75">
      <c r="A170" s="43"/>
      <c r="B170" s="32" t="s">
        <v>124</v>
      </c>
      <c r="G170" s="36"/>
      <c r="H170" s="36"/>
      <c r="I170" s="36"/>
      <c r="J170" s="36">
        <v>32230</v>
      </c>
      <c r="L170" s="41"/>
    </row>
    <row r="171" spans="1:12" ht="12.75">
      <c r="A171" s="43"/>
      <c r="B171" s="32" t="s">
        <v>125</v>
      </c>
      <c r="G171" s="36"/>
      <c r="H171" s="36"/>
      <c r="I171" s="36"/>
      <c r="J171" s="36">
        <v>16393</v>
      </c>
      <c r="L171" s="41"/>
    </row>
    <row r="172" spans="1:12" ht="12.75">
      <c r="A172" s="43"/>
      <c r="B172" s="32" t="s">
        <v>126</v>
      </c>
      <c r="G172" s="36"/>
      <c r="H172" s="36"/>
      <c r="I172" s="36"/>
      <c r="J172" s="36">
        <v>796</v>
      </c>
      <c r="L172" s="41"/>
    </row>
    <row r="173" spans="1:12" ht="12.75">
      <c r="A173" s="43"/>
      <c r="B173" s="33" t="s">
        <v>127</v>
      </c>
      <c r="C173" s="33"/>
      <c r="D173" s="33"/>
      <c r="E173" s="33"/>
      <c r="F173" s="33"/>
      <c r="G173" s="76">
        <f>SUM(G168:G172)</f>
        <v>877142</v>
      </c>
      <c r="H173" s="76">
        <f>SUM(H168:H172)</f>
        <v>949900</v>
      </c>
      <c r="I173" s="76">
        <f>SUM(I168:I172)</f>
        <v>1062803</v>
      </c>
      <c r="J173" s="76">
        <f>SUM(J168:J172)</f>
        <v>1257767</v>
      </c>
      <c r="L173" s="41">
        <f>+J173/I173-1</f>
        <v>0.18344321572295152</v>
      </c>
    </row>
    <row r="174" spans="1:12" ht="12.75">
      <c r="A174" s="43"/>
      <c r="B174" s="32" t="s">
        <v>64</v>
      </c>
      <c r="G174" s="36">
        <v>27011</v>
      </c>
      <c r="H174" s="36">
        <v>26523</v>
      </c>
      <c r="I174" s="36">
        <v>29191</v>
      </c>
      <c r="J174" s="36">
        <v>38676</v>
      </c>
      <c r="L174" s="41">
        <f>+J174/I174-1</f>
        <v>0.32492891644685007</v>
      </c>
    </row>
    <row r="175" spans="1:12" ht="12.75">
      <c r="A175" s="43"/>
      <c r="B175" s="32" t="s">
        <v>63</v>
      </c>
      <c r="G175" s="36">
        <f>21425+3655+30007</f>
        <v>55087</v>
      </c>
      <c r="H175" s="36">
        <f>4315+27974+37456</f>
        <v>69745</v>
      </c>
      <c r="I175" s="36">
        <f>1062+11820+48581</f>
        <v>61463</v>
      </c>
      <c r="J175" s="36">
        <v>28799</v>
      </c>
      <c r="L175" s="41">
        <f>+J175/I175-1</f>
        <v>-0.5314416803605422</v>
      </c>
    </row>
    <row r="176" spans="1:12" ht="12.75">
      <c r="A176" s="43"/>
      <c r="B176" s="32" t="s">
        <v>65</v>
      </c>
      <c r="G176" s="36">
        <v>15886</v>
      </c>
      <c r="H176" s="36">
        <v>20059</v>
      </c>
      <c r="I176" s="36">
        <v>22997</v>
      </c>
      <c r="J176" s="36">
        <v>10661</v>
      </c>
      <c r="L176" s="41">
        <f>+J176/I176-1</f>
        <v>-0.5364177936252554</v>
      </c>
    </row>
    <row r="177" spans="1:12" ht="12.75">
      <c r="A177" s="43"/>
      <c r="B177" s="32" t="s">
        <v>120</v>
      </c>
      <c r="G177" s="36"/>
      <c r="H177" s="36"/>
      <c r="I177" s="36"/>
      <c r="J177" s="36">
        <v>13385</v>
      </c>
      <c r="L177" s="41"/>
    </row>
    <row r="178" spans="1:12" ht="12.75">
      <c r="A178" s="43"/>
      <c r="B178" s="32" t="s">
        <v>118</v>
      </c>
      <c r="G178" s="36"/>
      <c r="H178" s="36"/>
      <c r="I178" s="36"/>
      <c r="J178" s="36">
        <v>11256.42</v>
      </c>
      <c r="L178" s="41"/>
    </row>
    <row r="179" spans="1:12" ht="12.75">
      <c r="A179" s="43"/>
      <c r="B179" s="32" t="s">
        <v>66</v>
      </c>
      <c r="G179" s="36">
        <v>27285.01</v>
      </c>
      <c r="H179" s="36">
        <v>56273.35</v>
      </c>
      <c r="I179" s="36">
        <v>133078.73</v>
      </c>
      <c r="J179" s="36">
        <v>166572.26</v>
      </c>
      <c r="L179" s="41">
        <f aca="true" t="shared" si="0" ref="L179:L184">+J179/I179-1</f>
        <v>0.2516820682012819</v>
      </c>
    </row>
    <row r="180" spans="1:15" ht="12.75">
      <c r="A180" s="43"/>
      <c r="B180" s="32" t="s">
        <v>67</v>
      </c>
      <c r="G180" s="36">
        <v>424849.77</v>
      </c>
      <c r="H180" s="36">
        <v>324834.71</v>
      </c>
      <c r="I180" s="36">
        <f>3314.15+290497.43</f>
        <v>293811.58</v>
      </c>
      <c r="J180" s="36">
        <f>2597.05+334606.12+1600+23534.68</f>
        <v>362337.85</v>
      </c>
      <c r="L180" s="41">
        <f t="shared" si="0"/>
        <v>0.2332320257765197</v>
      </c>
      <c r="O180" s="58"/>
    </row>
    <row r="181" spans="1:15" ht="12.75">
      <c r="A181" s="43"/>
      <c r="B181" s="32" t="s">
        <v>68</v>
      </c>
      <c r="G181" s="36">
        <v>74107.52</v>
      </c>
      <c r="H181" s="36">
        <v>88203.48</v>
      </c>
      <c r="I181" s="36">
        <v>111604.59</v>
      </c>
      <c r="J181" s="36">
        <v>136587.58</v>
      </c>
      <c r="L181" s="41">
        <f t="shared" si="0"/>
        <v>0.2238527107173638</v>
      </c>
      <c r="N181" s="45"/>
      <c r="O181" s="58"/>
    </row>
    <row r="182" spans="1:15" ht="12.75">
      <c r="A182" s="43"/>
      <c r="B182" s="32" t="s">
        <v>69</v>
      </c>
      <c r="G182" s="36">
        <f>57056.59+143389.24</f>
        <v>200445.83</v>
      </c>
      <c r="H182" s="36">
        <f>67376.98+124062.35</f>
        <v>191439.33000000002</v>
      </c>
      <c r="I182" s="36">
        <f>52013.76+235053.72+7800.77+94352.21</f>
        <v>389220.46</v>
      </c>
      <c r="J182" s="36">
        <f>+J216</f>
        <v>406214.3838392857</v>
      </c>
      <c r="L182" s="41">
        <f t="shared" si="0"/>
        <v>0.0436614350624982</v>
      </c>
      <c r="O182" s="58"/>
    </row>
    <row r="183" spans="1:13" ht="12.75">
      <c r="A183" s="43"/>
      <c r="B183" s="32" t="s">
        <v>70</v>
      </c>
      <c r="G183" s="36">
        <f>-57056.59+1050716.01</f>
        <v>993659.42</v>
      </c>
      <c r="H183" s="36">
        <f>-63376.98+1088948.78</f>
        <v>1025571.8</v>
      </c>
      <c r="I183" s="37">
        <f>-94352.21+1240673.97</f>
        <v>1146321.76</v>
      </c>
      <c r="J183" s="37">
        <v>1295634.08</v>
      </c>
      <c r="L183" s="41">
        <f t="shared" si="0"/>
        <v>0.130253411572681</v>
      </c>
      <c r="M183" s="32">
        <v>124062.35</v>
      </c>
    </row>
    <row r="184" spans="1:14" ht="12.75">
      <c r="A184" s="43"/>
      <c r="B184" s="33" t="s">
        <v>71</v>
      </c>
      <c r="C184" s="33"/>
      <c r="D184" s="33"/>
      <c r="E184" s="33"/>
      <c r="F184" s="33"/>
      <c r="G184" s="34">
        <f>SUM(G173:G183)</f>
        <v>2695473.5500000003</v>
      </c>
      <c r="H184" s="34">
        <f>SUM(H173:H183)</f>
        <v>2752549.67</v>
      </c>
      <c r="I184" s="34">
        <f>SUM(I173:I183)</f>
        <v>3250491.12</v>
      </c>
      <c r="J184" s="34">
        <f>SUM(J173:J183)</f>
        <v>3727890.5738392854</v>
      </c>
      <c r="L184" s="41">
        <f t="shared" si="0"/>
        <v>0.14686994556049893</v>
      </c>
      <c r="M184" s="58">
        <f>H182-M183</f>
        <v>67376.98000000001</v>
      </c>
      <c r="N184" s="60"/>
    </row>
    <row r="185" spans="1:10" ht="12.75">
      <c r="A185" s="43"/>
      <c r="B185" s="33" t="s">
        <v>230</v>
      </c>
      <c r="C185" s="33"/>
      <c r="D185" s="33"/>
      <c r="E185" s="33"/>
      <c r="F185" s="33"/>
      <c r="G185" s="35">
        <f>+G184/G165</f>
        <v>0.6011904714111109</v>
      </c>
      <c r="H185" s="35">
        <f>+H184/H165</f>
        <v>0.5220523389514192</v>
      </c>
      <c r="I185" s="35">
        <f>+I184/I165</f>
        <v>0.5143625708229587</v>
      </c>
      <c r="J185" s="35">
        <f>+J184/J165</f>
        <v>0.522571397829707</v>
      </c>
    </row>
    <row r="186" spans="1:10" ht="12.75">
      <c r="A186" s="43"/>
      <c r="J186" s="60"/>
    </row>
    <row r="187" spans="1:10" ht="12.75">
      <c r="A187" s="43"/>
      <c r="B187" s="33" t="s">
        <v>245</v>
      </c>
      <c r="J187" s="32" t="s">
        <v>139</v>
      </c>
    </row>
    <row r="188" spans="1:10" ht="12.75">
      <c r="A188" s="43"/>
      <c r="B188" s="32" t="s">
        <v>140</v>
      </c>
      <c r="H188" s="77"/>
      <c r="J188" s="38">
        <v>2493.485</v>
      </c>
    </row>
    <row r="189" spans="1:10" ht="12.75">
      <c r="A189" s="43"/>
      <c r="B189" s="32" t="s">
        <v>141</v>
      </c>
      <c r="H189" s="77"/>
      <c r="J189" s="38">
        <v>4620.94</v>
      </c>
    </row>
    <row r="190" spans="1:11" ht="12.75">
      <c r="A190" s="43"/>
      <c r="B190" s="32" t="s">
        <v>142</v>
      </c>
      <c r="K190" s="32">
        <v>27550</v>
      </c>
    </row>
    <row r="191" spans="1:11" ht="12.75">
      <c r="A191" s="43"/>
      <c r="B191" s="32" t="s">
        <v>16</v>
      </c>
      <c r="H191" s="36"/>
      <c r="J191" s="60">
        <f>SUM(J188:J190)</f>
        <v>7114.424999999999</v>
      </c>
      <c r="K191" s="32">
        <v>1198</v>
      </c>
    </row>
    <row r="192" spans="1:11" ht="12.75">
      <c r="A192" s="43"/>
      <c r="B192" s="32" t="s">
        <v>148</v>
      </c>
      <c r="K192" s="32">
        <f>+K190+K191</f>
        <v>28748</v>
      </c>
    </row>
    <row r="193" spans="1:11" ht="12.75">
      <c r="A193" s="43"/>
      <c r="B193" s="32" t="s">
        <v>145</v>
      </c>
      <c r="H193" s="36"/>
      <c r="J193" s="36">
        <f>18100+403254</f>
        <v>421354</v>
      </c>
      <c r="K193" s="32">
        <v>67909</v>
      </c>
    </row>
    <row r="194" spans="1:11" ht="12.75">
      <c r="A194" s="43"/>
      <c r="B194" s="32" t="s">
        <v>147</v>
      </c>
      <c r="H194" s="46"/>
      <c r="J194" s="46">
        <f>+J191/J193</f>
        <v>0.016884674169463206</v>
      </c>
      <c r="K194" s="32">
        <f>+K193/K192-1</f>
        <v>1.3622165020175316</v>
      </c>
    </row>
    <row r="195" spans="1:10" ht="12.75">
      <c r="A195" s="43"/>
      <c r="B195" s="32" t="s">
        <v>146</v>
      </c>
      <c r="H195" s="36"/>
      <c r="J195" s="36">
        <v>3600585</v>
      </c>
    </row>
    <row r="196" spans="1:10" ht="12.75">
      <c r="A196" s="43"/>
      <c r="B196" s="32" t="s">
        <v>246</v>
      </c>
      <c r="J196" s="38">
        <f>+J194*J195</f>
        <v>60794.704544456676</v>
      </c>
    </row>
    <row r="197" spans="1:10" ht="12.75">
      <c r="A197" s="43"/>
      <c r="B197" s="32" t="s">
        <v>149</v>
      </c>
      <c r="J197" s="85">
        <f>+J83</f>
        <v>7829.73</v>
      </c>
    </row>
    <row r="198" spans="1:10" ht="12.75">
      <c r="A198" s="43"/>
      <c r="B198" s="32" t="s">
        <v>150</v>
      </c>
      <c r="J198" s="38">
        <v>13377</v>
      </c>
    </row>
    <row r="199" spans="1:10" ht="12.75">
      <c r="A199" s="43"/>
      <c r="B199" s="32" t="s">
        <v>151</v>
      </c>
      <c r="G199" s="58">
        <f>+G175</f>
        <v>55087</v>
      </c>
      <c r="H199" s="58">
        <f>+H175</f>
        <v>69745</v>
      </c>
      <c r="I199" s="58">
        <f>+I175</f>
        <v>61463</v>
      </c>
      <c r="J199" s="58">
        <f>+J175</f>
        <v>28799</v>
      </c>
    </row>
    <row r="200" spans="1:10" ht="12.75">
      <c r="A200" s="43"/>
      <c r="B200" s="32" t="s">
        <v>152</v>
      </c>
      <c r="G200" s="33">
        <f>SUM(G197:G199)</f>
        <v>55087</v>
      </c>
      <c r="H200" s="33">
        <f>SUM(H197:H199)</f>
        <v>69745</v>
      </c>
      <c r="I200" s="33">
        <f>SUM(I197:I199)</f>
        <v>61463</v>
      </c>
      <c r="J200" s="59">
        <f>SUM(J196:J199)</f>
        <v>110800.43454445667</v>
      </c>
    </row>
    <row r="201" spans="1:10" ht="12.75">
      <c r="A201" s="43"/>
      <c r="B201" s="32" t="s">
        <v>153</v>
      </c>
      <c r="G201" s="46"/>
      <c r="H201" s="46">
        <f>+H200/G200-1</f>
        <v>0.2660881877757002</v>
      </c>
      <c r="I201" s="46">
        <f>+I200/H200-1</f>
        <v>-0.11874686357444975</v>
      </c>
      <c r="J201" s="46">
        <f>+J200/I200-1</f>
        <v>0.802717643858202</v>
      </c>
    </row>
    <row r="202" spans="1:10" ht="12.75">
      <c r="A202" s="43"/>
      <c r="B202" s="32" t="s">
        <v>228</v>
      </c>
      <c r="G202" s="46">
        <f>+G200/G165</f>
        <v>0.012286442023748985</v>
      </c>
      <c r="H202" s="46">
        <f>+H200/H165</f>
        <v>0.013227932188474088</v>
      </c>
      <c r="I202" s="46">
        <f>+I200/I165</f>
        <v>0.009725996941191922</v>
      </c>
      <c r="J202" s="46">
        <f>+J200/J165</f>
        <v>0.015531877026209052</v>
      </c>
    </row>
    <row r="203" ht="12.75">
      <c r="A203" s="43"/>
    </row>
    <row r="204" spans="1:10" ht="12.75">
      <c r="A204" s="43"/>
      <c r="B204" s="33" t="s">
        <v>75</v>
      </c>
      <c r="C204" s="33"/>
      <c r="D204" s="33"/>
      <c r="E204" s="33"/>
      <c r="F204" s="33"/>
      <c r="G204" s="58">
        <f>SUM(G174:G176)</f>
        <v>97984</v>
      </c>
      <c r="H204" s="58">
        <f>SUM(H174:H176)</f>
        <v>116327</v>
      </c>
      <c r="I204" s="58">
        <f>SUM(I174:I176)</f>
        <v>113651</v>
      </c>
      <c r="J204" s="58">
        <f>SUM(J174:J178)+J198+J197+J196</f>
        <v>184778.85454445667</v>
      </c>
    </row>
    <row r="205" spans="1:10" ht="12.75">
      <c r="A205" s="43"/>
      <c r="B205" s="33" t="s">
        <v>76</v>
      </c>
      <c r="C205" s="33"/>
      <c r="D205" s="33"/>
      <c r="E205" s="33"/>
      <c r="F205" s="33"/>
      <c r="G205" s="38">
        <f>+G180+G183</f>
        <v>1418509.19</v>
      </c>
      <c r="H205" s="38">
        <f>+H180+H183</f>
        <v>1350406.51</v>
      </c>
      <c r="I205" s="38">
        <f>+I180+I183</f>
        <v>1440133.34</v>
      </c>
      <c r="J205" s="38">
        <f>+J180+J183</f>
        <v>1657971.9300000002</v>
      </c>
    </row>
    <row r="206" spans="1:11" ht="12.75">
      <c r="A206" s="43"/>
      <c r="B206" s="33"/>
      <c r="C206" s="33"/>
      <c r="D206" s="33"/>
      <c r="E206" s="33"/>
      <c r="F206" s="33"/>
      <c r="G206" s="33"/>
      <c r="H206" s="38"/>
      <c r="I206" s="38"/>
      <c r="J206" s="38"/>
      <c r="K206" s="38"/>
    </row>
    <row r="207" spans="1:10" ht="15">
      <c r="A207" s="43"/>
      <c r="B207" s="174" t="s">
        <v>232</v>
      </c>
      <c r="G207" s="33">
        <v>2006</v>
      </c>
      <c r="H207" s="33">
        <v>2007</v>
      </c>
      <c r="I207" s="33">
        <v>2008</v>
      </c>
      <c r="J207" s="33">
        <v>2009</v>
      </c>
    </row>
    <row r="208" spans="1:11" ht="12.75">
      <c r="A208" s="43"/>
      <c r="B208" s="33" t="s">
        <v>231</v>
      </c>
      <c r="F208" s="32" t="s">
        <v>114</v>
      </c>
      <c r="K208" s="32" t="s">
        <v>112</v>
      </c>
    </row>
    <row r="209" spans="1:10" ht="12.75">
      <c r="A209" s="43"/>
      <c r="B209" s="32" t="s">
        <v>111</v>
      </c>
      <c r="F209" s="32">
        <v>0.37</v>
      </c>
      <c r="I209" s="161"/>
      <c r="J209" s="162">
        <v>45499</v>
      </c>
    </row>
    <row r="210" spans="1:10" ht="12.75">
      <c r="A210" s="43"/>
      <c r="B210" s="32" t="s">
        <v>119</v>
      </c>
      <c r="F210" s="32">
        <v>0.37</v>
      </c>
      <c r="I210" s="161"/>
      <c r="J210" s="162">
        <v>4352</v>
      </c>
    </row>
    <row r="211" spans="1:10" ht="12.75">
      <c r="A211" s="43"/>
      <c r="B211" s="32" t="s">
        <v>113</v>
      </c>
      <c r="F211" s="32">
        <v>0.33</v>
      </c>
      <c r="I211" s="161"/>
      <c r="J211" s="162">
        <v>18867.33</v>
      </c>
    </row>
    <row r="212" spans="1:10" ht="12.75">
      <c r="A212" s="43"/>
      <c r="B212" s="33" t="s">
        <v>115</v>
      </c>
      <c r="C212" s="33"/>
      <c r="D212" s="33"/>
      <c r="E212" s="33"/>
      <c r="F212" s="33"/>
      <c r="I212" s="161"/>
      <c r="J212" s="163">
        <f>J209*(1-$F209)+J211*(1-$F211)+J210*(1-$F210)</f>
        <v>44047.2411</v>
      </c>
    </row>
    <row r="213" spans="1:10" ht="12.75">
      <c r="A213" s="43"/>
      <c r="B213" s="32" t="s">
        <v>121</v>
      </c>
      <c r="I213" s="161"/>
      <c r="J213" s="164">
        <v>0.12</v>
      </c>
    </row>
    <row r="214" spans="1:10" ht="12.75">
      <c r="A214" s="43"/>
      <c r="B214" s="32" t="s">
        <v>122</v>
      </c>
      <c r="I214" s="161"/>
      <c r="J214" s="162">
        <f>+J212/(1+J213)</f>
        <v>39327.89383928571</v>
      </c>
    </row>
    <row r="215" spans="1:10" ht="12.75">
      <c r="A215" s="43"/>
      <c r="B215" s="32" t="s">
        <v>116</v>
      </c>
      <c r="I215" s="161"/>
      <c r="J215" s="162">
        <v>366886.49</v>
      </c>
    </row>
    <row r="216" spans="1:10" ht="12.75">
      <c r="A216" s="43"/>
      <c r="B216" s="32" t="s">
        <v>117</v>
      </c>
      <c r="I216" s="165">
        <f>+I182</f>
        <v>389220.46</v>
      </c>
      <c r="J216" s="162">
        <f>SUM(J214:J215)</f>
        <v>406214.3838392857</v>
      </c>
    </row>
    <row r="217" spans="1:10" s="33" customFormat="1" ht="12.75">
      <c r="A217" s="159"/>
      <c r="B217" s="33" t="s">
        <v>3</v>
      </c>
      <c r="I217" s="166">
        <f>+I216/I166</f>
        <v>0.09773686761267901</v>
      </c>
      <c r="J217" s="166">
        <f>+J216/J166</f>
        <v>0.09001456177496707</v>
      </c>
    </row>
    <row r="218" spans="1:11" s="33" customFormat="1" ht="12.75">
      <c r="A218" s="159"/>
      <c r="K218" s="111"/>
    </row>
    <row r="219" spans="1:12" ht="12.75">
      <c r="A219" s="43"/>
      <c r="B219" s="33" t="s">
        <v>72</v>
      </c>
      <c r="C219" s="33"/>
      <c r="D219" s="33"/>
      <c r="E219" s="33"/>
      <c r="F219" s="33"/>
      <c r="G219" s="38">
        <f>G181+G182</f>
        <v>274553.35</v>
      </c>
      <c r="H219" s="38">
        <f>H181+H182</f>
        <v>279642.81</v>
      </c>
      <c r="I219" s="38">
        <f>I181+I182</f>
        <v>500825.05000000005</v>
      </c>
      <c r="J219" s="38">
        <f>J181+J182</f>
        <v>542801.9638392857</v>
      </c>
      <c r="L219" s="41"/>
    </row>
    <row r="220" spans="1:10" ht="12.75">
      <c r="A220" s="43"/>
      <c r="B220" s="33" t="s">
        <v>74</v>
      </c>
      <c r="C220" s="33"/>
      <c r="D220" s="33"/>
      <c r="E220" s="33"/>
      <c r="F220" s="33"/>
      <c r="G220" s="35">
        <f>G219/G166</f>
        <v>0.0915240679860017</v>
      </c>
      <c r="H220" s="35">
        <f>H219/H166</f>
        <v>0.08347339752477774</v>
      </c>
      <c r="I220" s="35">
        <f>I219/I166</f>
        <v>0.12576181531917247</v>
      </c>
      <c r="J220" s="35">
        <f>J219/J166</f>
        <v>0.12028151352935788</v>
      </c>
    </row>
    <row r="221" spans="1:11" s="33" customFormat="1" ht="12.75">
      <c r="A221" s="159"/>
      <c r="I221" s="167"/>
      <c r="J221" s="167"/>
      <c r="K221" s="111"/>
    </row>
    <row r="222" spans="1:11" ht="12.75">
      <c r="A222" s="43"/>
      <c r="B222" s="33" t="s">
        <v>90</v>
      </c>
      <c r="C222" s="33"/>
      <c r="D222" s="33"/>
      <c r="E222" s="33"/>
      <c r="F222" s="33"/>
      <c r="I222" s="161"/>
      <c r="J222" s="167"/>
      <c r="K222" s="33"/>
    </row>
    <row r="223" spans="1:10" ht="12.75">
      <c r="A223" s="43"/>
      <c r="B223" s="32" t="s">
        <v>91</v>
      </c>
      <c r="F223" s="32">
        <v>0.38</v>
      </c>
      <c r="I223" s="168">
        <v>134399.52030000003</v>
      </c>
      <c r="J223" s="169">
        <v>136888.82</v>
      </c>
    </row>
    <row r="224" spans="1:12" ht="12.75">
      <c r="A224" s="43"/>
      <c r="B224" s="32" t="s">
        <v>92</v>
      </c>
      <c r="F224" s="32">
        <v>0.22</v>
      </c>
      <c r="I224" s="168">
        <v>176626.57</v>
      </c>
      <c r="J224" s="169">
        <v>156720.09</v>
      </c>
      <c r="L224" s="41"/>
    </row>
    <row r="225" spans="1:10" ht="12.75">
      <c r="A225" s="43"/>
      <c r="B225" s="32" t="s">
        <v>81</v>
      </c>
      <c r="F225" s="32">
        <v>0.45</v>
      </c>
      <c r="I225" s="168">
        <v>33838</v>
      </c>
      <c r="J225" s="169">
        <v>39350</v>
      </c>
    </row>
    <row r="226" spans="1:10" ht="12.75">
      <c r="A226" s="43"/>
      <c r="B226" s="33" t="s">
        <v>229</v>
      </c>
      <c r="I226" s="170">
        <v>344864.09030000004</v>
      </c>
      <c r="J226" s="170">
        <f>SUM(J223:J225)</f>
        <v>332958.91000000003</v>
      </c>
    </row>
    <row r="227" spans="1:10" ht="12.75">
      <c r="A227" s="43"/>
      <c r="B227" s="32" t="s">
        <v>128</v>
      </c>
      <c r="I227" s="169">
        <f>I224*(1-$F224)+I223*(1-$F223)+I225*(1-$F225)</f>
        <v>239707.32718600004</v>
      </c>
      <c r="J227" s="169">
        <f>J224*(1-$F224)+J225*(1-$F225)</f>
        <v>143884.1702</v>
      </c>
    </row>
    <row r="228" spans="1:10" ht="12.75">
      <c r="A228" s="43"/>
      <c r="B228" s="32" t="s">
        <v>2</v>
      </c>
      <c r="I228" s="169"/>
      <c r="J228" s="169">
        <v>102453.57</v>
      </c>
    </row>
    <row r="229" spans="1:10" ht="12.75">
      <c r="A229" s="43"/>
      <c r="B229" s="123" t="s">
        <v>243</v>
      </c>
      <c r="C229" s="123"/>
      <c r="D229" s="123"/>
      <c r="E229" s="123"/>
      <c r="F229" s="123"/>
      <c r="G229" s="123"/>
      <c r="H229" s="123"/>
      <c r="I229" s="186">
        <f>+I227+I228</f>
        <v>239707.32718600004</v>
      </c>
      <c r="J229" s="186">
        <f>+J227+J228</f>
        <v>246337.7402</v>
      </c>
    </row>
    <row r="230" spans="1:10" ht="12.75">
      <c r="A230" s="43"/>
      <c r="B230" s="32" t="s">
        <v>130</v>
      </c>
      <c r="I230" s="171">
        <f>+I226/I165</f>
        <v>0.054571808850605</v>
      </c>
      <c r="J230" s="171">
        <f>+J226/J165</f>
        <v>0.046673795695500155</v>
      </c>
    </row>
    <row r="231" spans="1:10" ht="12.75">
      <c r="A231" s="43"/>
      <c r="B231" s="32" t="s">
        <v>129</v>
      </c>
      <c r="I231" s="172">
        <f>+I229/I166</f>
        <v>0.060192733195390646</v>
      </c>
      <c r="J231" s="172">
        <f>+J229/J166</f>
        <v>0.05458689946713355</v>
      </c>
    </row>
    <row r="232" spans="1:10" ht="12.75">
      <c r="A232" s="43"/>
      <c r="B232" s="32" t="s">
        <v>4</v>
      </c>
      <c r="I232" s="173">
        <f>+I231+I217</f>
        <v>0.15792960080806967</v>
      </c>
      <c r="J232" s="173">
        <f>+J231+J220</f>
        <v>0.17486841299649142</v>
      </c>
    </row>
    <row r="233" ht="12.75">
      <c r="A233" s="43"/>
    </row>
    <row r="234" spans="1:2" ht="12.75">
      <c r="A234" s="43"/>
      <c r="B234" s="33" t="s">
        <v>165</v>
      </c>
    </row>
    <row r="235" spans="1:10" ht="12.75">
      <c r="A235" s="43"/>
      <c r="B235" s="32" t="s">
        <v>238</v>
      </c>
      <c r="J235" s="32">
        <v>587</v>
      </c>
    </row>
    <row r="236" spans="1:10" ht="12.75">
      <c r="A236" s="43"/>
      <c r="B236" s="86" t="s">
        <v>155</v>
      </c>
      <c r="C236" s="86"/>
      <c r="D236" s="86"/>
      <c r="E236" s="86"/>
      <c r="F236" s="86"/>
      <c r="J236" s="32">
        <v>6408</v>
      </c>
    </row>
    <row r="237" spans="1:10" ht="12.75">
      <c r="A237" s="43"/>
      <c r="B237" s="86" t="s">
        <v>235</v>
      </c>
      <c r="C237" s="86"/>
      <c r="D237" s="86"/>
      <c r="E237" s="86"/>
      <c r="F237" s="86"/>
      <c r="J237" s="32">
        <v>480</v>
      </c>
    </row>
    <row r="238" spans="1:10" ht="12.75">
      <c r="A238" s="43"/>
      <c r="B238" s="32" t="s">
        <v>237</v>
      </c>
      <c r="J238" s="32">
        <f>+J236-J237</f>
        <v>5928</v>
      </c>
    </row>
    <row r="239" spans="1:10" ht="12.75">
      <c r="A239" s="43"/>
      <c r="B239" s="32" t="s">
        <v>236</v>
      </c>
      <c r="J239" s="32">
        <f>+'Local Produce Skus Calculator '!B18</f>
        <v>147</v>
      </c>
    </row>
    <row r="240" spans="1:10" ht="12.75">
      <c r="A240" s="43"/>
      <c r="B240" s="32" t="s">
        <v>249</v>
      </c>
      <c r="J240" s="32">
        <f>+'Local Produce Skus Calculator '!D18</f>
        <v>394</v>
      </c>
    </row>
    <row r="241" spans="1:10" ht="12.75">
      <c r="A241" s="43"/>
      <c r="B241" s="32" t="s">
        <v>1</v>
      </c>
      <c r="J241" s="33">
        <f>+J239+J235</f>
        <v>734</v>
      </c>
    </row>
    <row r="242" spans="1:10" ht="12.75">
      <c r="A242" s="43"/>
      <c r="B242" s="32" t="s">
        <v>250</v>
      </c>
      <c r="J242" s="33">
        <f>+J243-J241</f>
        <v>5588</v>
      </c>
    </row>
    <row r="243" spans="1:10" ht="12.75">
      <c r="A243" s="43"/>
      <c r="B243" s="32" t="s">
        <v>239</v>
      </c>
      <c r="J243" s="33">
        <f>+J238+J240</f>
        <v>6322</v>
      </c>
    </row>
    <row r="244" spans="1:10" ht="12.75">
      <c r="A244" s="43"/>
      <c r="B244" s="33" t="s">
        <v>156</v>
      </c>
      <c r="J244" s="160">
        <f>+J241/J243</f>
        <v>0.11610249920911105</v>
      </c>
    </row>
    <row r="245" ht="12.75">
      <c r="A245" s="43"/>
    </row>
    <row r="246" spans="1:2" ht="12.75">
      <c r="A246" s="43"/>
      <c r="B246" s="33" t="s">
        <v>77</v>
      </c>
    </row>
    <row r="247" spans="1:10" ht="12.75">
      <c r="A247" s="43"/>
      <c r="B247" s="32" t="s">
        <v>79</v>
      </c>
      <c r="H247" s="36">
        <v>35862</v>
      </c>
      <c r="I247" s="36">
        <v>61943</v>
      </c>
      <c r="J247" s="36">
        <v>63099.11</v>
      </c>
    </row>
    <row r="248" spans="1:10" ht="12.75">
      <c r="A248" s="43"/>
      <c r="B248" s="32" t="s">
        <v>78</v>
      </c>
      <c r="H248" s="36">
        <v>24261</v>
      </c>
      <c r="I248" s="36">
        <v>24262</v>
      </c>
      <c r="J248" s="36">
        <f>7025.79+33132.77</f>
        <v>40158.56</v>
      </c>
    </row>
    <row r="249" spans="1:10" ht="12.75">
      <c r="A249" s="43"/>
      <c r="B249" s="32" t="s">
        <v>80</v>
      </c>
      <c r="H249" s="36">
        <v>3000</v>
      </c>
      <c r="I249" s="36">
        <v>3000</v>
      </c>
      <c r="J249" s="36">
        <v>3000</v>
      </c>
    </row>
    <row r="250" spans="1:10" ht="12.75">
      <c r="A250" s="43"/>
      <c r="B250" s="32" t="s">
        <v>81</v>
      </c>
      <c r="H250" s="36">
        <v>459</v>
      </c>
      <c r="I250" s="36">
        <v>799</v>
      </c>
      <c r="J250" s="36">
        <v>1755.94</v>
      </c>
    </row>
    <row r="251" spans="1:11" s="33" customFormat="1" ht="12.75">
      <c r="A251" s="159"/>
      <c r="B251" s="33" t="s">
        <v>16</v>
      </c>
      <c r="H251" s="76">
        <f>SUM(H247:H250)</f>
        <v>63582</v>
      </c>
      <c r="I251" s="76">
        <f>SUM(I247:I250)</f>
        <v>90004</v>
      </c>
      <c r="J251" s="76">
        <f>SUM(J247:J250)</f>
        <v>108013.61</v>
      </c>
      <c r="K251" s="176"/>
    </row>
    <row r="252" ht="12.75">
      <c r="A252" s="43"/>
    </row>
    <row r="253" spans="1:10" ht="12.75">
      <c r="A253" s="43"/>
      <c r="B253" s="32" t="s">
        <v>82</v>
      </c>
      <c r="I253" s="38">
        <v>285</v>
      </c>
      <c r="J253" s="38">
        <v>210</v>
      </c>
    </row>
    <row r="254" ht="12.75">
      <c r="A254" s="43"/>
    </row>
    <row r="255" spans="1:10" ht="12.75">
      <c r="A255" s="43"/>
      <c r="B255" s="32" t="s">
        <v>83</v>
      </c>
      <c r="H255" s="36">
        <v>543580</v>
      </c>
      <c r="I255" s="36">
        <v>504080</v>
      </c>
      <c r="J255" s="36">
        <f>64500+398080</f>
        <v>462580</v>
      </c>
    </row>
    <row r="256" ht="12.75">
      <c r="A256" s="43"/>
    </row>
    <row r="257" spans="1:2" ht="12.75">
      <c r="A257" s="43"/>
      <c r="B257" s="33" t="s">
        <v>240</v>
      </c>
    </row>
    <row r="258" spans="1:10" ht="12.75">
      <c r="A258" s="43"/>
      <c r="B258" s="32" t="s">
        <v>88</v>
      </c>
      <c r="I258" s="32">
        <v>147287</v>
      </c>
      <c r="J258" s="77">
        <f>182278.07+116.95</f>
        <v>182395.02000000002</v>
      </c>
    </row>
    <row r="259" spans="1:10" ht="12.75">
      <c r="A259" s="43"/>
      <c r="B259" s="32" t="s">
        <v>89</v>
      </c>
      <c r="I259" s="32">
        <v>40116</v>
      </c>
      <c r="J259" s="77">
        <v>9120.01</v>
      </c>
    </row>
    <row r="260" spans="1:10" ht="12.75">
      <c r="A260" s="43"/>
      <c r="B260" s="32" t="s">
        <v>79</v>
      </c>
      <c r="I260" s="32">
        <v>175148</v>
      </c>
      <c r="J260" s="77">
        <v>176071.96</v>
      </c>
    </row>
    <row r="261" spans="1:10" ht="12.75">
      <c r="A261" s="43"/>
      <c r="B261" s="32" t="s">
        <v>16</v>
      </c>
      <c r="I261" s="32">
        <f>SUM(I258:I260)</f>
        <v>362551</v>
      </c>
      <c r="J261" s="32">
        <f>SUM(J258:J260)</f>
        <v>367586.99</v>
      </c>
    </row>
    <row r="262" ht="12.75">
      <c r="A262" s="43"/>
    </row>
    <row r="263" spans="1:10" ht="12.75">
      <c r="A263" s="43"/>
      <c r="B263" s="33" t="s">
        <v>84</v>
      </c>
      <c r="I263" s="33"/>
      <c r="J263" s="33"/>
    </row>
    <row r="264" spans="1:11" ht="12.75">
      <c r="A264" s="43"/>
      <c r="B264" s="32" t="s">
        <v>79</v>
      </c>
      <c r="I264" s="32">
        <f>398168+1065771</f>
        <v>1463939</v>
      </c>
      <c r="J264" s="32">
        <f>1032766+215808+17260+60381</f>
        <v>1326215</v>
      </c>
      <c r="K264" s="41"/>
    </row>
    <row r="265" spans="1:11" ht="12.75">
      <c r="A265" s="43"/>
      <c r="B265" s="32" t="s">
        <v>78</v>
      </c>
      <c r="I265" s="32">
        <v>282994</v>
      </c>
      <c r="J265" s="32">
        <f>8413+266752</f>
        <v>275165</v>
      </c>
      <c r="K265" s="41"/>
    </row>
    <row r="266" spans="1:11" ht="12.75">
      <c r="A266" s="43"/>
      <c r="B266" s="32" t="s">
        <v>85</v>
      </c>
      <c r="I266" s="32">
        <v>80834</v>
      </c>
      <c r="J266" s="32">
        <f>9126+63246.51</f>
        <v>72372.51000000001</v>
      </c>
      <c r="K266" s="41"/>
    </row>
    <row r="267" spans="1:11" ht="12.75">
      <c r="A267" s="43"/>
      <c r="B267" s="32" t="s">
        <v>86</v>
      </c>
      <c r="I267" s="32">
        <f>120000+145543</f>
        <v>265543</v>
      </c>
      <c r="J267" s="32">
        <f>85539.15+31906+40000</f>
        <v>157445.15</v>
      </c>
      <c r="K267" s="41"/>
    </row>
    <row r="268" spans="1:11" ht="12.75">
      <c r="A268" s="43"/>
      <c r="B268" s="32" t="s">
        <v>87</v>
      </c>
      <c r="I268" s="32">
        <v>157633</v>
      </c>
      <c r="J268" s="32">
        <f>26667+104649.7</f>
        <v>131316.7</v>
      </c>
      <c r="K268" s="41"/>
    </row>
    <row r="269" spans="1:10" ht="12.75">
      <c r="A269" s="43"/>
      <c r="B269" s="33" t="s">
        <v>16</v>
      </c>
      <c r="I269" s="76">
        <f>SUM(I264:I268)</f>
        <v>2250943</v>
      </c>
      <c r="J269" s="76">
        <f>SUM(J264:J268)</f>
        <v>1962514.3599999999</v>
      </c>
    </row>
    <row r="270" spans="1:11" ht="12.75">
      <c r="A270" s="43"/>
      <c r="I270" s="44"/>
      <c r="K270" s="44"/>
    </row>
    <row r="271" spans="1:2" ht="12.75">
      <c r="A271" s="150"/>
      <c r="B271" s="33" t="s">
        <v>247</v>
      </c>
    </row>
    <row r="272" spans="1:2" ht="13.5" thickBot="1">
      <c r="A272" s="150"/>
      <c r="B272" s="33"/>
    </row>
    <row r="273" spans="1:12" ht="14.25" thickBot="1" thickTop="1">
      <c r="A273" s="150"/>
      <c r="B273" s="62" t="s">
        <v>99</v>
      </c>
      <c r="C273" s="62"/>
      <c r="D273" s="62"/>
      <c r="E273" s="62"/>
      <c r="F273" s="62"/>
      <c r="G273" s="63">
        <v>2006</v>
      </c>
      <c r="H273" s="64">
        <v>2007</v>
      </c>
      <c r="I273" s="63">
        <v>2008</v>
      </c>
      <c r="J273" s="63">
        <v>2009</v>
      </c>
      <c r="K273" s="65" t="s">
        <v>104</v>
      </c>
      <c r="L273" s="65"/>
    </row>
    <row r="274" spans="1:12" ht="14.25" thickBot="1" thickTop="1">
      <c r="A274" s="150"/>
      <c r="B274" s="8" t="s">
        <v>103</v>
      </c>
      <c r="C274" s="8"/>
      <c r="D274" s="8"/>
      <c r="E274" s="8"/>
      <c r="F274" s="8"/>
      <c r="G274" s="29">
        <v>8061</v>
      </c>
      <c r="H274" s="66">
        <v>8085</v>
      </c>
      <c r="I274" s="29">
        <v>9560</v>
      </c>
      <c r="J274" s="29">
        <v>11062</v>
      </c>
      <c r="K274" s="187">
        <f>+J274/I274-1</f>
        <v>0.15711297071129704</v>
      </c>
      <c r="L274" s="51"/>
    </row>
    <row r="275" spans="1:12" ht="14.25" thickBot="1" thickTop="1">
      <c r="A275" s="150"/>
      <c r="B275" s="5" t="s">
        <v>101</v>
      </c>
      <c r="C275" s="5"/>
      <c r="D275" s="5"/>
      <c r="E275" s="5"/>
      <c r="F275" s="5"/>
      <c r="G275" s="67">
        <f>+G274/G165</f>
        <v>0.0017979016674249926</v>
      </c>
      <c r="H275" s="67">
        <f>+H274/H165</f>
        <v>0.0015334121692424261</v>
      </c>
      <c r="I275" s="67">
        <f>+I274/I165</f>
        <v>0.0015127886819353885</v>
      </c>
      <c r="J275" s="67">
        <f>+J274/J$165</f>
        <v>0.0015506583920028528</v>
      </c>
      <c r="K275" s="6">
        <f>+J275/I275-1</f>
        <v>0.02503304692828312</v>
      </c>
      <c r="L275" s="6"/>
    </row>
    <row r="276" spans="1:12" ht="14.25" thickBot="1" thickTop="1">
      <c r="A276" s="150"/>
      <c r="B276" s="8" t="s">
        <v>100</v>
      </c>
      <c r="C276" s="8"/>
      <c r="D276" s="8"/>
      <c r="E276" s="8"/>
      <c r="F276" s="8"/>
      <c r="G276" s="29">
        <v>479371</v>
      </c>
      <c r="H276" s="66">
        <v>480496</v>
      </c>
      <c r="I276" s="29">
        <v>466800</v>
      </c>
      <c r="J276" s="29">
        <v>461000</v>
      </c>
      <c r="K276" s="187">
        <f>+J276/I276-1</f>
        <v>-0.012425021422450722</v>
      </c>
      <c r="L276" s="9"/>
    </row>
    <row r="277" spans="1:12" ht="13.5" thickTop="1">
      <c r="A277" s="150"/>
      <c r="B277" s="12" t="s">
        <v>102</v>
      </c>
      <c r="C277" s="12"/>
      <c r="D277" s="12"/>
      <c r="E277" s="12"/>
      <c r="F277" s="12"/>
      <c r="G277" s="189">
        <f>+G276/G$165</f>
        <v>0.10691749413412556</v>
      </c>
      <c r="H277" s="189">
        <f>+H276/H$165</f>
        <v>0.09113152921116992</v>
      </c>
      <c r="I277" s="189">
        <f>+I276/I$165</f>
        <v>0.0738671293647949</v>
      </c>
      <c r="J277" s="189">
        <f>+J276/J$165</f>
        <v>0.06462244790393376</v>
      </c>
      <c r="K277" s="13">
        <f>+J277/I277-1</f>
        <v>-0.12515284593240417</v>
      </c>
      <c r="L277" s="13"/>
    </row>
    <row r="278" spans="1:12" s="133" customFormat="1" ht="12.75">
      <c r="A278" s="190"/>
      <c r="G278" s="191"/>
      <c r="H278" s="191"/>
      <c r="I278" s="191"/>
      <c r="J278" s="191"/>
      <c r="K278" s="131"/>
      <c r="L278" s="131"/>
    </row>
    <row r="279" spans="1:13" ht="12.75">
      <c r="A279" s="150"/>
      <c r="B279" s="181" t="s">
        <v>241</v>
      </c>
      <c r="C279" s="180"/>
      <c r="D279" s="180"/>
      <c r="E279" s="180"/>
      <c r="F279" s="180"/>
      <c r="G279" s="179" t="s">
        <v>157</v>
      </c>
      <c r="H279" s="179" t="s">
        <v>157</v>
      </c>
      <c r="I279" s="179" t="s">
        <v>157</v>
      </c>
      <c r="J279" s="179" t="s">
        <v>157</v>
      </c>
      <c r="K279" s="177"/>
      <c r="L279" s="177"/>
      <c r="M279" s="177"/>
    </row>
    <row r="280" spans="1:13" ht="12.75">
      <c r="A280" s="150"/>
      <c r="B280" s="180" t="s">
        <v>158</v>
      </c>
      <c r="C280" s="180"/>
      <c r="D280" s="180"/>
      <c r="E280" s="180"/>
      <c r="F280" s="180"/>
      <c r="G280" s="185">
        <v>51600</v>
      </c>
      <c r="H280" s="185">
        <v>51600</v>
      </c>
      <c r="I280" s="184">
        <v>67600</v>
      </c>
      <c r="J280" s="184">
        <v>67600</v>
      </c>
      <c r="K280" s="177"/>
      <c r="L280" s="177"/>
      <c r="M280" s="179"/>
    </row>
    <row r="281" spans="1:13" ht="12.75">
      <c r="A281" s="150"/>
      <c r="B281" s="180" t="s">
        <v>159</v>
      </c>
      <c r="C281" s="180"/>
      <c r="D281" s="180"/>
      <c r="E281" s="180"/>
      <c r="F281" s="180"/>
      <c r="G281" s="184">
        <v>17000</v>
      </c>
      <c r="H281" s="184">
        <v>20000</v>
      </c>
      <c r="I281" s="184">
        <v>23000</v>
      </c>
      <c r="J281" s="184">
        <v>26000</v>
      </c>
      <c r="K281" s="180"/>
      <c r="L281" s="180"/>
      <c r="M281" s="181"/>
    </row>
    <row r="282" spans="1:13" ht="12.75">
      <c r="A282" s="150"/>
      <c r="B282" s="180" t="s">
        <v>160</v>
      </c>
      <c r="C282" s="180"/>
      <c r="D282" s="180"/>
      <c r="E282" s="180"/>
      <c r="F282" s="180"/>
      <c r="G282" s="184">
        <v>30000</v>
      </c>
      <c r="H282" s="184">
        <v>34000</v>
      </c>
      <c r="I282" s="184">
        <v>37000</v>
      </c>
      <c r="J282" s="184">
        <v>40000</v>
      </c>
      <c r="K282" s="177"/>
      <c r="L282" s="177"/>
      <c r="M282" s="179"/>
    </row>
    <row r="283" spans="1:13" ht="12.75">
      <c r="A283" s="150"/>
      <c r="B283" s="181" t="s">
        <v>161</v>
      </c>
      <c r="C283" s="181"/>
      <c r="D283" s="181"/>
      <c r="E283" s="181"/>
      <c r="F283" s="181"/>
      <c r="G283" s="185">
        <f>SUM(G280:G282)</f>
        <v>98600</v>
      </c>
      <c r="H283" s="185">
        <f>SUM(H280:H282)</f>
        <v>105600</v>
      </c>
      <c r="I283" s="185">
        <v>127600</v>
      </c>
      <c r="J283" s="185">
        <v>133600</v>
      </c>
      <c r="K283" s="179"/>
      <c r="L283" s="177"/>
      <c r="M283" s="177"/>
    </row>
    <row r="284" spans="1:13" ht="12.75">
      <c r="A284" s="150"/>
      <c r="B284" s="180" t="s">
        <v>242</v>
      </c>
      <c r="C284" s="181"/>
      <c r="D284" s="181"/>
      <c r="E284" s="181"/>
      <c r="F284" s="181"/>
      <c r="G284" s="178">
        <v>0.38</v>
      </c>
      <c r="H284" s="178">
        <v>0.38</v>
      </c>
      <c r="I284" s="178">
        <v>0.38</v>
      </c>
      <c r="J284" s="178">
        <v>0.39</v>
      </c>
      <c r="K284" s="179"/>
      <c r="L284" s="177"/>
      <c r="M284" s="177"/>
    </row>
    <row r="285" spans="1:13" ht="12.75">
      <c r="A285" s="150"/>
      <c r="B285" s="181" t="s">
        <v>162</v>
      </c>
      <c r="C285" s="181"/>
      <c r="D285" s="181"/>
      <c r="E285" s="181"/>
      <c r="F285" s="181"/>
      <c r="G285" s="185">
        <v>154800</v>
      </c>
      <c r="H285" s="185">
        <v>154800</v>
      </c>
      <c r="I285" s="185">
        <v>208000</v>
      </c>
      <c r="J285" s="185">
        <v>208000</v>
      </c>
      <c r="K285" s="182"/>
      <c r="L285" s="177"/>
      <c r="M285" s="177"/>
    </row>
    <row r="286" spans="1:13" ht="12.75">
      <c r="A286" s="150"/>
      <c r="B286" s="180" t="s">
        <v>242</v>
      </c>
      <c r="C286" s="181"/>
      <c r="D286" s="181"/>
      <c r="E286" s="181"/>
      <c r="F286" s="181"/>
      <c r="G286" s="178">
        <f>+G285/G288</f>
        <v>0.6108918705603789</v>
      </c>
      <c r="H286" s="178">
        <f>+H285/H288</f>
        <v>0.5944700460829493</v>
      </c>
      <c r="I286" s="178">
        <f>+I285/I288</f>
        <v>0.6197854588796186</v>
      </c>
      <c r="J286" s="178">
        <f>+J285/J288</f>
        <v>0.6088992974238876</v>
      </c>
      <c r="K286" s="182"/>
      <c r="L286" s="177"/>
      <c r="M286" s="177"/>
    </row>
    <row r="287" spans="1:13" ht="12.75">
      <c r="A287" s="150"/>
      <c r="B287" s="180" t="s">
        <v>244</v>
      </c>
      <c r="C287" s="181"/>
      <c r="D287" s="181"/>
      <c r="E287" s="181"/>
      <c r="F287" s="181"/>
      <c r="G287" s="188">
        <f>+G285/G165</f>
        <v>0.03452613548162621</v>
      </c>
      <c r="H287" s="188">
        <f>+H285/H165</f>
        <v>0.0293595799379997</v>
      </c>
      <c r="I287" s="188">
        <f>+I285/I165</f>
        <v>0.03291423073666954</v>
      </c>
      <c r="J287" s="188">
        <f>+J285/J165</f>
        <v>0.02915719992194842</v>
      </c>
      <c r="K287" s="182"/>
      <c r="L287" s="177"/>
      <c r="M287" s="177"/>
    </row>
    <row r="288" spans="1:13" ht="12.75">
      <c r="A288" s="150"/>
      <c r="B288" s="181" t="s">
        <v>163</v>
      </c>
      <c r="C288" s="181"/>
      <c r="D288" s="181"/>
      <c r="E288" s="181"/>
      <c r="F288" s="181"/>
      <c r="G288" s="185">
        <f>+G285+G283</f>
        <v>253400</v>
      </c>
      <c r="H288" s="185">
        <f>+H285+H283</f>
        <v>260400</v>
      </c>
      <c r="I288" s="185">
        <v>335600</v>
      </c>
      <c r="J288" s="185">
        <v>341600</v>
      </c>
      <c r="K288" s="179"/>
      <c r="L288" s="183"/>
      <c r="M288" s="177"/>
    </row>
    <row r="289" spans="1:13" ht="12.75">
      <c r="A289" s="150"/>
      <c r="B289" s="33" t="s">
        <v>153</v>
      </c>
      <c r="G289" s="35"/>
      <c r="H289" s="35">
        <f>+H288/G288-1</f>
        <v>0.027624309392265234</v>
      </c>
      <c r="I289" s="35">
        <f>+I288/H288-1</f>
        <v>0.28878648233486937</v>
      </c>
      <c r="J289" s="35">
        <f>+J288/I288-1</f>
        <v>0.017878426698450633</v>
      </c>
      <c r="K289" s="161"/>
      <c r="L289" s="161"/>
      <c r="M289" s="161"/>
    </row>
    <row r="290" ht="12.75">
      <c r="A290" s="150"/>
    </row>
    <row r="291" ht="12.75">
      <c r="A291" s="150"/>
    </row>
    <row r="292" spans="1:10" ht="12.75">
      <c r="A292" s="150"/>
      <c r="B292" s="33" t="s">
        <v>105</v>
      </c>
      <c r="C292" s="33"/>
      <c r="D292" s="33"/>
      <c r="E292" s="33"/>
      <c r="F292" s="33"/>
      <c r="G292" s="33"/>
      <c r="H292" s="33">
        <v>2007</v>
      </c>
      <c r="I292" s="33">
        <v>2008</v>
      </c>
      <c r="J292" s="33">
        <v>2009</v>
      </c>
    </row>
    <row r="293" spans="1:13" ht="12.75">
      <c r="A293" s="150"/>
      <c r="B293" s="32" t="s">
        <v>106</v>
      </c>
      <c r="H293" s="32">
        <f>28284+458098</f>
        <v>486382</v>
      </c>
      <c r="I293" s="32">
        <f>33838+533623</f>
        <v>567461</v>
      </c>
      <c r="J293" s="32">
        <v>656367</v>
      </c>
      <c r="M293" s="42"/>
    </row>
    <row r="294" spans="1:13" ht="12.75">
      <c r="A294" s="150"/>
      <c r="H294" s="35">
        <f>H293/H165</f>
        <v>0.0922478760297427</v>
      </c>
      <c r="I294" s="35">
        <f>I293/I165</f>
        <v>0.08979587638490978</v>
      </c>
      <c r="J294" s="35">
        <f>J293/J$165</f>
        <v>0.09200876846716115</v>
      </c>
      <c r="L294" s="35"/>
      <c r="M294" s="42"/>
    </row>
    <row r="295" spans="1:13" ht="12.75">
      <c r="A295" s="150"/>
      <c r="B295" s="32" t="s">
        <v>107</v>
      </c>
      <c r="H295" s="32">
        <f>471495+47151+388702</f>
        <v>907348</v>
      </c>
      <c r="I295" s="32">
        <f>566804+43706+447514</f>
        <v>1058024</v>
      </c>
      <c r="J295" s="32">
        <f>619830+34402+479223</f>
        <v>1133455</v>
      </c>
      <c r="M295" s="42"/>
    </row>
    <row r="296" spans="1:13" ht="12.75">
      <c r="A296" s="150"/>
      <c r="H296" s="35">
        <f>H295/H$165</f>
        <v>0.17208886393788211</v>
      </c>
      <c r="I296" s="35">
        <f>I295/I$165</f>
        <v>0.16742329836987524</v>
      </c>
      <c r="J296" s="35">
        <f>J295/J$165</f>
        <v>0.15888641364198097</v>
      </c>
      <c r="L296" s="35"/>
      <c r="M296" s="42"/>
    </row>
    <row r="297" spans="1:10" ht="12.75">
      <c r="A297" s="150"/>
      <c r="B297" s="33" t="s">
        <v>248</v>
      </c>
      <c r="C297" s="33"/>
      <c r="D297" s="33"/>
      <c r="E297" s="33"/>
      <c r="F297" s="33"/>
      <c r="G297" s="33"/>
      <c r="H297" s="68">
        <f>+H296+H294</f>
        <v>0.2643367399676248</v>
      </c>
      <c r="I297" s="68">
        <f>+I296+I294</f>
        <v>0.257219174754785</v>
      </c>
      <c r="J297" s="68">
        <f>+J296+J294</f>
        <v>0.25089518210914213</v>
      </c>
    </row>
    <row r="298" ht="12.75">
      <c r="A298" s="150"/>
    </row>
    <row r="299" ht="12.75">
      <c r="A299" s="15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4" max="4" width="9.421875" style="0" customWidth="1"/>
  </cols>
  <sheetData>
    <row r="1" spans="1:5" ht="12.75">
      <c r="A1" s="33" t="s">
        <v>164</v>
      </c>
      <c r="B1" s="32"/>
      <c r="C1" s="32"/>
      <c r="D1" s="32"/>
      <c r="E1" s="32"/>
    </row>
    <row r="2" spans="1:5" ht="25.5">
      <c r="A2" s="90"/>
      <c r="B2" s="89" t="s">
        <v>234</v>
      </c>
      <c r="C2" s="89" t="s">
        <v>233</v>
      </c>
      <c r="D2" s="89" t="s">
        <v>16</v>
      </c>
      <c r="E2" s="89" t="s">
        <v>166</v>
      </c>
    </row>
    <row r="3" spans="1:5" ht="12.75">
      <c r="A3" s="87">
        <v>40087</v>
      </c>
      <c r="B3" s="88">
        <v>72</v>
      </c>
      <c r="C3" s="88">
        <v>99</v>
      </c>
      <c r="D3" s="88">
        <f>SUM(B3:C3)</f>
        <v>171</v>
      </c>
      <c r="E3" s="46">
        <f>+B3/D3</f>
        <v>0.42105263157894735</v>
      </c>
    </row>
    <row r="4" spans="1:5" ht="12.75">
      <c r="A4" s="175">
        <v>40101</v>
      </c>
      <c r="B4">
        <v>75</v>
      </c>
      <c r="C4">
        <f>223-B4</f>
        <v>148</v>
      </c>
      <c r="D4" s="88">
        <f>SUM(B4:C4)</f>
        <v>223</v>
      </c>
      <c r="E4" s="46">
        <f>+B4/D4</f>
        <v>0.336322869955157</v>
      </c>
    </row>
    <row r="5" spans="2:5" ht="12.75">
      <c r="B5" s="115"/>
      <c r="C5" s="115"/>
      <c r="D5" s="88">
        <f aca="true" t="shared" si="0" ref="D5:D17">SUM(B5:C5)</f>
        <v>0</v>
      </c>
      <c r="E5" s="46" t="e">
        <f aca="true" t="shared" si="1" ref="E5:E18">+B5/D5</f>
        <v>#DIV/0!</v>
      </c>
    </row>
    <row r="6" spans="4:5" ht="12.75">
      <c r="D6" s="88">
        <f t="shared" si="0"/>
        <v>0</v>
      </c>
      <c r="E6" s="46" t="e">
        <f t="shared" si="1"/>
        <v>#DIV/0!</v>
      </c>
    </row>
    <row r="7" spans="4:5" ht="12.75">
      <c r="D7" s="88">
        <f t="shared" si="0"/>
        <v>0</v>
      </c>
      <c r="E7" s="46" t="e">
        <f t="shared" si="1"/>
        <v>#DIV/0!</v>
      </c>
    </row>
    <row r="8" spans="4:5" ht="12.75">
      <c r="D8" s="88">
        <f t="shared" si="0"/>
        <v>0</v>
      </c>
      <c r="E8" s="46" t="e">
        <f t="shared" si="1"/>
        <v>#DIV/0!</v>
      </c>
    </row>
    <row r="9" spans="4:5" ht="12.75">
      <c r="D9" s="88">
        <f t="shared" si="0"/>
        <v>0</v>
      </c>
      <c r="E9" s="46" t="e">
        <f t="shared" si="1"/>
        <v>#DIV/0!</v>
      </c>
    </row>
    <row r="10" spans="4:5" ht="12.75">
      <c r="D10" s="88">
        <f t="shared" si="0"/>
        <v>0</v>
      </c>
      <c r="E10" s="46" t="e">
        <f t="shared" si="1"/>
        <v>#DIV/0!</v>
      </c>
    </row>
    <row r="11" spans="4:5" ht="12.75">
      <c r="D11" s="88">
        <f t="shared" si="0"/>
        <v>0</v>
      </c>
      <c r="E11" s="46" t="e">
        <f t="shared" si="1"/>
        <v>#DIV/0!</v>
      </c>
    </row>
    <row r="12" spans="4:5" ht="12.75">
      <c r="D12" s="88">
        <f t="shared" si="0"/>
        <v>0</v>
      </c>
      <c r="E12" s="46" t="e">
        <f t="shared" si="1"/>
        <v>#DIV/0!</v>
      </c>
    </row>
    <row r="13" spans="4:5" ht="12.75">
      <c r="D13" s="88">
        <f t="shared" si="0"/>
        <v>0</v>
      </c>
      <c r="E13" s="46" t="e">
        <f t="shared" si="1"/>
        <v>#DIV/0!</v>
      </c>
    </row>
    <row r="14" spans="4:5" ht="12.75">
      <c r="D14" s="88">
        <f t="shared" si="0"/>
        <v>0</v>
      </c>
      <c r="E14" s="46" t="e">
        <f t="shared" si="1"/>
        <v>#DIV/0!</v>
      </c>
    </row>
    <row r="15" spans="4:5" ht="12.75">
      <c r="D15" s="88">
        <f t="shared" si="0"/>
        <v>0</v>
      </c>
      <c r="E15" s="46" t="e">
        <f t="shared" si="1"/>
        <v>#DIV/0!</v>
      </c>
    </row>
    <row r="16" spans="4:5" ht="12.75">
      <c r="D16" s="88">
        <f t="shared" si="0"/>
        <v>0</v>
      </c>
      <c r="E16" s="46" t="e">
        <f t="shared" si="1"/>
        <v>#DIV/0!</v>
      </c>
    </row>
    <row r="17" spans="4:5" ht="12.75">
      <c r="D17" s="88">
        <f t="shared" si="0"/>
        <v>0</v>
      </c>
      <c r="E17" s="46" t="e">
        <f t="shared" si="1"/>
        <v>#DIV/0!</v>
      </c>
    </row>
    <row r="18" spans="1:5" ht="12.75">
      <c r="A18" s="112" t="s">
        <v>16</v>
      </c>
      <c r="B18">
        <f>SUM(B3:B17)</f>
        <v>147</v>
      </c>
      <c r="C18">
        <f>SUM(C3:C17)</f>
        <v>247</v>
      </c>
      <c r="D18">
        <f>SUM(D3:D17)</f>
        <v>394</v>
      </c>
      <c r="E18" s="46">
        <f t="shared" si="1"/>
        <v>0.3730964467005076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6"/>
  <sheetViews>
    <sheetView zoomScalePageLayoutView="0" workbookViewId="0" topLeftCell="A265">
      <selection activeCell="A233" sqref="A233"/>
    </sheetView>
  </sheetViews>
  <sheetFormatPr defaultColWidth="9.140625" defaultRowHeight="12.75"/>
  <sheetData>
    <row r="1" s="113" customFormat="1" ht="20.25">
      <c r="A1" s="114" t="s">
        <v>193</v>
      </c>
    </row>
    <row r="2" s="113" customFormat="1" ht="12.75"/>
    <row r="3" s="113" customFormat="1" ht="12.75"/>
    <row r="4" s="113" customFormat="1" ht="12.75"/>
    <row r="5" s="113" customFormat="1" ht="12.75"/>
    <row r="6" s="113" customFormat="1" ht="12.75"/>
    <row r="7" s="113" customFormat="1" ht="12.75"/>
    <row r="8" s="113" customFormat="1" ht="12.75"/>
    <row r="9" s="113" customFormat="1" ht="12.75"/>
    <row r="10" s="113" customFormat="1" ht="12.75"/>
    <row r="11" s="113" customFormat="1" ht="12.75"/>
    <row r="12" s="113" customFormat="1" ht="12.75"/>
    <row r="13" s="113" customFormat="1" ht="12.75"/>
    <row r="14" s="113" customFormat="1" ht="12.75"/>
    <row r="15" s="113" customFormat="1" ht="12.75"/>
    <row r="16" s="113" customFormat="1" ht="12.75"/>
    <row r="17" s="113" customFormat="1" ht="12.75"/>
    <row r="18" s="113" customFormat="1" ht="12.75"/>
    <row r="19" s="113" customFormat="1" ht="12.75"/>
    <row r="20" s="113" customFormat="1" ht="12.75"/>
    <row r="21" s="113" customFormat="1" ht="12.75"/>
    <row r="22" s="113" customFormat="1" ht="12.75"/>
    <row r="23" s="113" customFormat="1" ht="12.75"/>
    <row r="24" s="113" customFormat="1" ht="12.75"/>
    <row r="25" s="113" customFormat="1" ht="12.75"/>
    <row r="26" s="113" customFormat="1" ht="12.75"/>
    <row r="27" s="113" customFormat="1" ht="12.75"/>
    <row r="28" s="113" customFormat="1" ht="12.75"/>
    <row r="29" s="113" customFormat="1" ht="12.75"/>
    <row r="30" s="113" customFormat="1" ht="12.75"/>
    <row r="31" s="113" customFormat="1" ht="12.75"/>
    <row r="32" s="113" customFormat="1" ht="12.75"/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  <row r="44" s="113" customFormat="1" ht="12.75"/>
    <row r="45" s="113" customFormat="1" ht="12.75"/>
    <row r="46" s="113" customFormat="1" ht="12.75"/>
    <row r="47" s="113" customFormat="1" ht="12.75"/>
    <row r="48" s="113" customFormat="1" ht="12.75"/>
    <row r="49" s="113" customFormat="1" ht="12.75"/>
    <row r="50" s="113" customFormat="1" ht="12.75"/>
    <row r="51" s="113" customFormat="1" ht="12.75"/>
    <row r="52" s="113" customFormat="1" ht="12.75"/>
    <row r="53" s="113" customFormat="1" ht="12.75"/>
    <row r="54" s="113" customFormat="1" ht="12.75"/>
    <row r="55" s="113" customFormat="1" ht="12.75"/>
    <row r="56" s="113" customFormat="1" ht="12.75"/>
    <row r="57" s="113" customFormat="1" ht="12.75"/>
    <row r="58" s="113" customFormat="1" ht="12.75"/>
    <row r="59" s="113" customFormat="1" ht="12.75"/>
    <row r="60" s="113" customFormat="1" ht="12.75"/>
    <row r="61" s="113" customFormat="1" ht="12.75"/>
    <row r="62" s="113" customFormat="1" ht="12.75"/>
    <row r="63" s="113" customFormat="1" ht="12.75"/>
    <row r="64" s="113" customFormat="1" ht="12.75"/>
    <row r="65" s="113" customFormat="1" ht="12.75"/>
    <row r="66" s="113" customFormat="1" ht="12.75"/>
    <row r="67" s="113" customFormat="1" ht="12.75"/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  <row r="93" s="113" customFormat="1" ht="12.75"/>
    <row r="94" s="113" customFormat="1" ht="12.75"/>
    <row r="95" s="113" customFormat="1" ht="12.75"/>
    <row r="96" s="113" customFormat="1" ht="12.75"/>
    <row r="97" s="113" customFormat="1" ht="12.75"/>
    <row r="98" s="113" customFormat="1" ht="12.75"/>
    <row r="99" s="113" customFormat="1" ht="12.75"/>
    <row r="100" s="113" customFormat="1" ht="12.75"/>
    <row r="101" s="113" customFormat="1" ht="12.75"/>
    <row r="102" s="113" customFormat="1" ht="12.75"/>
    <row r="103" s="113" customFormat="1" ht="12.75"/>
    <row r="104" s="113" customFormat="1" ht="12.75"/>
    <row r="105" s="113" customFormat="1" ht="12.75"/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="113" customFormat="1" ht="12.75"/>
    <row r="116" s="113" customFormat="1" ht="12.75"/>
    <row r="117" s="113" customFormat="1" ht="12.75"/>
    <row r="118" s="141" customFormat="1" ht="20.25">
      <c r="A118" s="142" t="s">
        <v>210</v>
      </c>
    </row>
    <row r="119" s="141" customFormat="1" ht="12.75"/>
    <row r="120" s="141" customFormat="1" ht="12.75"/>
    <row r="121" s="141" customFormat="1" ht="12.75"/>
    <row r="122" s="141" customFormat="1" ht="12.75"/>
    <row r="123" s="141" customFormat="1" ht="12.75"/>
    <row r="124" s="141" customFormat="1" ht="12.75"/>
    <row r="125" s="141" customFormat="1" ht="12.75"/>
    <row r="126" s="141" customFormat="1" ht="12.75"/>
    <row r="127" s="141" customFormat="1" ht="12.75"/>
    <row r="128" s="141" customFormat="1" ht="12.75"/>
    <row r="129" s="141" customFormat="1" ht="12.75"/>
    <row r="130" s="141" customFormat="1" ht="12.75"/>
    <row r="131" s="141" customFormat="1" ht="12.75"/>
    <row r="132" s="141" customFormat="1" ht="12.75"/>
    <row r="133" s="141" customFormat="1" ht="12.75"/>
    <row r="134" s="141" customFormat="1" ht="12.75"/>
    <row r="135" s="141" customFormat="1" ht="12.75"/>
    <row r="136" s="141" customFormat="1" ht="12.75"/>
    <row r="137" s="141" customFormat="1" ht="12.75"/>
    <row r="138" s="141" customFormat="1" ht="12.75"/>
    <row r="139" s="141" customFormat="1" ht="12.75"/>
    <row r="140" s="141" customFormat="1" ht="12.75"/>
    <row r="141" s="141" customFormat="1" ht="12.75"/>
    <row r="142" s="141" customFormat="1" ht="12.75"/>
    <row r="143" s="141" customFormat="1" ht="12.75"/>
    <row r="144" s="141" customFormat="1" ht="12.75"/>
    <row r="145" s="141" customFormat="1" ht="12.75"/>
    <row r="146" s="141" customFormat="1" ht="12.75"/>
    <row r="147" s="141" customFormat="1" ht="12.75"/>
    <row r="148" s="141" customFormat="1" ht="12.75"/>
    <row r="149" s="141" customFormat="1" ht="12.75"/>
    <row r="150" s="141" customFormat="1" ht="12.75"/>
    <row r="151" s="141" customFormat="1" ht="12.75"/>
    <row r="152" s="141" customFormat="1" ht="12.75"/>
    <row r="153" s="141" customFormat="1" ht="12.75"/>
    <row r="154" s="141" customFormat="1" ht="12.75"/>
    <row r="155" s="141" customFormat="1" ht="12.75"/>
    <row r="156" s="141" customFormat="1" ht="12.75"/>
    <row r="157" s="141" customFormat="1" ht="12.75"/>
    <row r="158" s="141" customFormat="1" ht="12.75"/>
    <row r="159" s="115" customFormat="1" ht="20.25">
      <c r="A159" s="117" t="s">
        <v>194</v>
      </c>
    </row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>
      <c r="A194" s="116" t="s">
        <v>192</v>
      </c>
    </row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pans="1:2" s="119" customFormat="1" ht="19.5">
      <c r="A286" s="118" t="s">
        <v>195</v>
      </c>
      <c r="B286" s="118" t="s">
        <v>196</v>
      </c>
    </row>
    <row r="287" s="119" customFormat="1" ht="12.75"/>
    <row r="288" s="119" customFormat="1" ht="12.75"/>
    <row r="289" s="119" customFormat="1" ht="12.75"/>
    <row r="290" s="119" customFormat="1" ht="12.75"/>
    <row r="291" s="119" customFormat="1" ht="12.75"/>
    <row r="292" s="119" customFormat="1" ht="12.75"/>
    <row r="293" s="119" customFormat="1" ht="12.75"/>
    <row r="294" s="119" customFormat="1" ht="12.75"/>
    <row r="295" s="119" customFormat="1" ht="12.75"/>
    <row r="296" s="119" customFormat="1" ht="12.75"/>
    <row r="297" s="119" customFormat="1" ht="12.75"/>
    <row r="298" s="119" customFormat="1" ht="12.75"/>
    <row r="299" s="119" customFormat="1" ht="12.75"/>
    <row r="300" s="119" customFormat="1" ht="12.75"/>
    <row r="301" s="119" customFormat="1" ht="12.75"/>
    <row r="302" s="119" customFormat="1" ht="12.75"/>
    <row r="303" s="119" customFormat="1" ht="12.75"/>
    <row r="304" s="119" customFormat="1" ht="12.75"/>
    <row r="305" s="119" customFormat="1" ht="12.75"/>
    <row r="306" s="119" customFormat="1" ht="12.75"/>
    <row r="307" s="119" customFormat="1" ht="12.75"/>
    <row r="308" s="119" customFormat="1" ht="12.75"/>
    <row r="309" s="119" customFormat="1" ht="12.75"/>
    <row r="310" s="119" customFormat="1" ht="12.75"/>
    <row r="311" s="119" customFormat="1" ht="12.75"/>
    <row r="312" s="119" customFormat="1" ht="12.75"/>
    <row r="313" s="119" customFormat="1" ht="12.75"/>
    <row r="314" s="119" customFormat="1" ht="12.75"/>
    <row r="315" s="119" customFormat="1" ht="12.75"/>
    <row r="316" s="119" customFormat="1" ht="12.75"/>
    <row r="317" s="119" customFormat="1" ht="12.75"/>
    <row r="318" s="119" customFormat="1" ht="12.75"/>
    <row r="319" s="119" customFormat="1" ht="12.75"/>
    <row r="320" s="119" customFormat="1" ht="12.75"/>
    <row r="321" s="119" customFormat="1" ht="12.75"/>
    <row r="322" s="119" customFormat="1" ht="12.75"/>
    <row r="323" s="119" customFormat="1" ht="12.75"/>
    <row r="324" s="119" customFormat="1" ht="12.75"/>
    <row r="325" s="119" customFormat="1" ht="12.75"/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25.421875" style="0" customWidth="1"/>
    <col min="2" max="4" width="16.28125" style="92" customWidth="1"/>
    <col min="5" max="5" width="14.421875" style="92" customWidth="1"/>
    <col min="6" max="6" width="13.421875" style="91" customWidth="1"/>
    <col min="7" max="9" width="9.8515625" style="0" customWidth="1"/>
  </cols>
  <sheetData>
    <row r="1" spans="1:5" ht="18">
      <c r="A1" s="93" t="s">
        <v>154</v>
      </c>
      <c r="B1" s="99">
        <v>40087</v>
      </c>
      <c r="C1" s="94"/>
      <c r="D1" s="94"/>
      <c r="E1" s="94"/>
    </row>
    <row r="2" spans="1:5" ht="18">
      <c r="A2" s="93"/>
      <c r="B2" s="99"/>
      <c r="C2" s="94"/>
      <c r="D2" s="94"/>
      <c r="E2" s="94"/>
    </row>
    <row r="3" spans="1:6" s="107" customFormat="1" ht="31.5">
      <c r="A3" s="103"/>
      <c r="B3" s="104" t="s">
        <v>0</v>
      </c>
      <c r="C3" s="104" t="s">
        <v>1</v>
      </c>
      <c r="D3" s="104" t="s">
        <v>191</v>
      </c>
      <c r="E3" s="105"/>
      <c r="F3" s="106"/>
    </row>
    <row r="4" spans="1:5" ht="15.75" collapsed="1">
      <c r="A4" s="98" t="s">
        <v>190</v>
      </c>
      <c r="B4" s="108">
        <v>33</v>
      </c>
      <c r="C4" s="108">
        <v>33</v>
      </c>
      <c r="D4" s="108">
        <f>+B4-C4</f>
        <v>0</v>
      </c>
      <c r="E4" s="96">
        <f>+C4/B4</f>
        <v>1</v>
      </c>
    </row>
    <row r="5" spans="1:5" ht="15.75" collapsed="1">
      <c r="A5" s="98" t="s">
        <v>189</v>
      </c>
      <c r="B5" s="108">
        <v>75</v>
      </c>
      <c r="C5" s="108">
        <v>62</v>
      </c>
      <c r="D5" s="108">
        <f>+B5-C5</f>
        <v>13</v>
      </c>
      <c r="E5" s="96">
        <f>+C5/B5</f>
        <v>0.8266666666666667</v>
      </c>
    </row>
    <row r="6" spans="1:5" ht="15.75" collapsed="1">
      <c r="A6" s="98" t="s">
        <v>188</v>
      </c>
      <c r="B6" s="108">
        <v>165</v>
      </c>
      <c r="C6" s="108">
        <v>135</v>
      </c>
      <c r="D6" s="108">
        <f>+B6-C6</f>
        <v>30</v>
      </c>
      <c r="E6" s="96">
        <f>+C6/B6</f>
        <v>0.8181818181818182</v>
      </c>
    </row>
    <row r="7" spans="1:6" s="102" customFormat="1" ht="18">
      <c r="A7" s="93" t="s">
        <v>187</v>
      </c>
      <c r="B7" s="109">
        <f>SUM(B4:B6)</f>
        <v>273</v>
      </c>
      <c r="C7" s="109">
        <f>SUM(C4:C6)</f>
        <v>230</v>
      </c>
      <c r="D7" s="109">
        <f>+B7-C7</f>
        <v>43</v>
      </c>
      <c r="E7" s="100">
        <f>+C7/B7</f>
        <v>0.8424908424908425</v>
      </c>
      <c r="F7" s="101"/>
    </row>
    <row r="8" spans="1:5" ht="15.75">
      <c r="A8" s="95"/>
      <c r="B8" s="110"/>
      <c r="C8" s="110"/>
      <c r="D8" s="110"/>
      <c r="E8" s="96"/>
    </row>
    <row r="9" spans="1:5" ht="15.75" collapsed="1">
      <c r="A9" s="98" t="s">
        <v>186</v>
      </c>
      <c r="B9" s="108">
        <v>95</v>
      </c>
      <c r="C9" s="108">
        <v>12</v>
      </c>
      <c r="D9" s="108">
        <f>+B9-C9</f>
        <v>83</v>
      </c>
      <c r="E9" s="96">
        <f>+C9/B9</f>
        <v>0.12631578947368421</v>
      </c>
    </row>
    <row r="10" spans="1:5" ht="15.75" collapsed="1">
      <c r="A10" s="98" t="s">
        <v>185</v>
      </c>
      <c r="B10" s="108">
        <v>50</v>
      </c>
      <c r="C10" s="108">
        <v>0</v>
      </c>
      <c r="D10" s="108">
        <f>+B10-C10</f>
        <v>50</v>
      </c>
      <c r="E10" s="96">
        <f>+C10/B10</f>
        <v>0</v>
      </c>
    </row>
    <row r="11" spans="1:5" ht="15.75" collapsed="1">
      <c r="A11" s="98" t="s">
        <v>184</v>
      </c>
      <c r="B11" s="108">
        <v>115</v>
      </c>
      <c r="C11" s="108">
        <v>27</v>
      </c>
      <c r="D11" s="108">
        <f>+B11-C11</f>
        <v>88</v>
      </c>
      <c r="E11" s="96">
        <f>+C11/B11</f>
        <v>0.23478260869565218</v>
      </c>
    </row>
    <row r="12" spans="1:6" s="102" customFormat="1" ht="18">
      <c r="A12" s="93" t="s">
        <v>183</v>
      </c>
      <c r="B12" s="109">
        <f>SUM(B9:B11)</f>
        <v>260</v>
      </c>
      <c r="C12" s="109">
        <f>SUM(C9:C11)</f>
        <v>39</v>
      </c>
      <c r="D12" s="109">
        <f>+B12-C12</f>
        <v>221</v>
      </c>
      <c r="E12" s="100">
        <f>+C12/B12</f>
        <v>0.15</v>
      </c>
      <c r="F12" s="101"/>
    </row>
    <row r="13" spans="1:5" ht="15.75">
      <c r="A13" s="95"/>
      <c r="B13" s="108"/>
      <c r="C13" s="108"/>
      <c r="D13" s="108"/>
      <c r="E13" s="97"/>
    </row>
    <row r="14" spans="1:5" ht="15.75" collapsed="1">
      <c r="A14" s="98" t="s">
        <v>182</v>
      </c>
      <c r="B14" s="108">
        <v>357</v>
      </c>
      <c r="C14" s="108">
        <v>41</v>
      </c>
      <c r="D14" s="108">
        <f>+B14-C14</f>
        <v>316</v>
      </c>
      <c r="E14" s="96">
        <f>+C14/B14</f>
        <v>0.11484593837535013</v>
      </c>
    </row>
    <row r="15" spans="1:5" ht="15.75" collapsed="1">
      <c r="A15" s="98" t="s">
        <v>181</v>
      </c>
      <c r="B15" s="108">
        <v>456</v>
      </c>
      <c r="C15" s="108">
        <v>60</v>
      </c>
      <c r="D15" s="108">
        <f>+B15-C15</f>
        <v>396</v>
      </c>
      <c r="E15" s="96">
        <f>+C15/B15</f>
        <v>0.13157894736842105</v>
      </c>
    </row>
    <row r="16" spans="1:5" ht="15.75" collapsed="1">
      <c r="A16" s="98" t="s">
        <v>180</v>
      </c>
      <c r="B16" s="108">
        <v>345</v>
      </c>
      <c r="C16" s="108">
        <v>41</v>
      </c>
      <c r="D16" s="108">
        <f>+B16-C16</f>
        <v>304</v>
      </c>
      <c r="E16" s="96">
        <f>+C16/B16</f>
        <v>0.11884057971014493</v>
      </c>
    </row>
    <row r="17" spans="1:5" ht="15.75" collapsed="1">
      <c r="A17" s="98" t="s">
        <v>179</v>
      </c>
      <c r="B17" s="108">
        <v>72</v>
      </c>
      <c r="C17" s="108">
        <v>6</v>
      </c>
      <c r="D17" s="108">
        <f>+B17-C17</f>
        <v>66</v>
      </c>
      <c r="E17" s="96">
        <f>+C17/B17</f>
        <v>0.08333333333333333</v>
      </c>
    </row>
    <row r="18" spans="1:6" s="102" customFormat="1" ht="18">
      <c r="A18" s="93" t="s">
        <v>178</v>
      </c>
      <c r="B18" s="109">
        <f>SUM(B14:B17)</f>
        <v>1230</v>
      </c>
      <c r="C18" s="109">
        <f>SUM(C14:C17)</f>
        <v>148</v>
      </c>
      <c r="D18" s="109">
        <f>+B18-C18</f>
        <v>1082</v>
      </c>
      <c r="E18" s="100">
        <f>+C18/B18</f>
        <v>0.12032520325203253</v>
      </c>
      <c r="F18" s="101"/>
    </row>
    <row r="19" spans="1:5" ht="15.75">
      <c r="A19" s="95"/>
      <c r="B19" s="108"/>
      <c r="C19" s="108"/>
      <c r="D19" s="108"/>
      <c r="E19" s="97"/>
    </row>
    <row r="20" spans="1:5" ht="15.75" collapsed="1">
      <c r="A20" s="98" t="s">
        <v>177</v>
      </c>
      <c r="B20" s="108">
        <v>106</v>
      </c>
      <c r="C20" s="108">
        <v>21</v>
      </c>
      <c r="D20" s="108">
        <f>+B20-C20</f>
        <v>85</v>
      </c>
      <c r="E20" s="96">
        <f>+C20/B20</f>
        <v>0.19811320754716982</v>
      </c>
    </row>
    <row r="21" spans="1:5" ht="15.75" collapsed="1">
      <c r="A21" s="98" t="s">
        <v>176</v>
      </c>
      <c r="B21" s="108">
        <v>41</v>
      </c>
      <c r="C21" s="108">
        <v>3</v>
      </c>
      <c r="D21" s="108">
        <f>+B21-C21</f>
        <v>38</v>
      </c>
      <c r="E21" s="96">
        <f>+C21/B21</f>
        <v>0.07317073170731707</v>
      </c>
    </row>
    <row r="22" spans="1:5" ht="15.75" collapsed="1">
      <c r="A22" s="98" t="s">
        <v>175</v>
      </c>
      <c r="B22" s="108">
        <v>2549</v>
      </c>
      <c r="C22" s="108">
        <v>126</v>
      </c>
      <c r="D22" s="108">
        <f>+B22-C22</f>
        <v>2423</v>
      </c>
      <c r="E22" s="96">
        <f>+C22/B22</f>
        <v>0.04943114947038054</v>
      </c>
    </row>
    <row r="23" spans="1:6" s="102" customFormat="1" ht="18">
      <c r="A23" s="93" t="s">
        <v>174</v>
      </c>
      <c r="B23" s="109">
        <f>SUM(B20:B22)</f>
        <v>2696</v>
      </c>
      <c r="C23" s="109">
        <f>SUM(C20:C22)</f>
        <v>150</v>
      </c>
      <c r="D23" s="109">
        <f>+B23-C23</f>
        <v>2546</v>
      </c>
      <c r="E23" s="100">
        <f>+C23/B23</f>
        <v>0.055637982195845696</v>
      </c>
      <c r="F23" s="101"/>
    </row>
    <row r="24" spans="1:5" ht="15.75">
      <c r="A24" s="95"/>
      <c r="B24" s="108"/>
      <c r="C24" s="108"/>
      <c r="D24" s="108"/>
      <c r="E24" s="97"/>
    </row>
    <row r="25" spans="1:5" ht="15.75" collapsed="1">
      <c r="A25" s="98" t="s">
        <v>173</v>
      </c>
      <c r="B25" s="108">
        <v>161</v>
      </c>
      <c r="C25" s="108">
        <v>0</v>
      </c>
      <c r="D25" s="108">
        <f>+B25-C25</f>
        <v>161</v>
      </c>
      <c r="E25" s="96">
        <v>0</v>
      </c>
    </row>
    <row r="26" spans="1:5" ht="15.75" collapsed="1">
      <c r="A26" s="98" t="s">
        <v>172</v>
      </c>
      <c r="B26" s="108">
        <v>749</v>
      </c>
      <c r="C26" s="108">
        <v>0</v>
      </c>
      <c r="D26" s="108">
        <f>+B26-C26</f>
        <v>749</v>
      </c>
      <c r="E26" s="96">
        <v>0</v>
      </c>
    </row>
    <row r="27" spans="1:5" ht="15.75" collapsed="1">
      <c r="A27" s="98" t="s">
        <v>171</v>
      </c>
      <c r="B27" s="108">
        <v>621</v>
      </c>
      <c r="C27" s="108">
        <v>43</v>
      </c>
      <c r="D27" s="108">
        <f>+B27-C27</f>
        <v>578</v>
      </c>
      <c r="E27" s="96">
        <v>0.06924315619967794</v>
      </c>
    </row>
    <row r="28" spans="1:6" s="102" customFormat="1" ht="18">
      <c r="A28" s="93" t="s">
        <v>170</v>
      </c>
      <c r="B28" s="109">
        <f>SUM(B25:B27)</f>
        <v>1531</v>
      </c>
      <c r="C28" s="109">
        <f>SUM(C25:C27)</f>
        <v>43</v>
      </c>
      <c r="D28" s="109">
        <f>+B28-C28</f>
        <v>1488</v>
      </c>
      <c r="E28" s="100">
        <f>+C28/B28</f>
        <v>0.028086218158066622</v>
      </c>
      <c r="F28" s="101"/>
    </row>
    <row r="29" spans="1:5" ht="15">
      <c r="A29" s="98"/>
      <c r="B29" s="108"/>
      <c r="C29" s="108"/>
      <c r="D29" s="108"/>
      <c r="E29" s="97"/>
    </row>
    <row r="30" spans="1:5" ht="15.75">
      <c r="A30" s="98" t="s">
        <v>169</v>
      </c>
      <c r="B30" s="108">
        <v>96</v>
      </c>
      <c r="C30" s="108">
        <v>25</v>
      </c>
      <c r="D30" s="108">
        <f>+B30-C30</f>
        <v>71</v>
      </c>
      <c r="E30" s="96">
        <f>+C30/B30</f>
        <v>0.2604166666666667</v>
      </c>
    </row>
    <row r="31" spans="1:5" ht="15.75">
      <c r="A31" s="98" t="s">
        <v>168</v>
      </c>
      <c r="B31" s="108">
        <f>47+28</f>
        <v>75</v>
      </c>
      <c r="C31" s="108">
        <v>47</v>
      </c>
      <c r="D31" s="108">
        <f>+B31-C31</f>
        <v>28</v>
      </c>
      <c r="E31" s="96">
        <f>+C31/B31</f>
        <v>0.6266666666666667</v>
      </c>
    </row>
    <row r="32" spans="1:6" s="102" customFormat="1" ht="18">
      <c r="A32" s="93" t="s">
        <v>167</v>
      </c>
      <c r="B32" s="109">
        <f>SUM(B29:B31)</f>
        <v>171</v>
      </c>
      <c r="C32" s="109">
        <f>SUM(C29:C31)</f>
        <v>72</v>
      </c>
      <c r="D32" s="109">
        <f>+B32-C32</f>
        <v>99</v>
      </c>
      <c r="E32" s="100">
        <f>+C32/B32</f>
        <v>0.42105263157894735</v>
      </c>
      <c r="F32" s="101"/>
    </row>
    <row r="33" spans="1:5" ht="15">
      <c r="A33" s="98"/>
      <c r="B33" s="108"/>
      <c r="C33" s="108"/>
      <c r="D33" s="108"/>
      <c r="E33" s="97"/>
    </row>
    <row r="34" spans="1:6" s="102" customFormat="1" ht="18">
      <c r="A34" s="93" t="s">
        <v>16</v>
      </c>
      <c r="B34" s="109">
        <f>+B32+B28+B23+B18+B12+B7</f>
        <v>6161</v>
      </c>
      <c r="C34" s="109">
        <f>+C32+C28+C23+C18+C12+C7</f>
        <v>682</v>
      </c>
      <c r="D34" s="109">
        <f>+B34-C34</f>
        <v>5479</v>
      </c>
      <c r="E34" s="100">
        <f>+C34/B34</f>
        <v>0.11069631553319266</v>
      </c>
      <c r="F34" s="101"/>
    </row>
  </sheetData>
  <sheetProtection/>
  <printOptions/>
  <pageMargins left="0.26" right="0.25" top="1.07" bottom="0.45" header="0.5" footer="0.5"/>
  <pageSetup horizontalDpi="600" verticalDpi="600" orientation="portrait" r:id="rId2"/>
  <headerFooter alignWithMargins="0">
    <oddHeader>&amp;C&amp;"Tahoma,Bold"&amp;16Local SKUs 10/1/09</oddHeader>
  </headerFooter>
  <rowBreaks count="2" manualBreakCount="2">
    <brk id="35" max="5" man="1"/>
    <brk id="86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53">
      <selection activeCell="G79" sqref="G79:G8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</dc:creator>
  <cp:keywords/>
  <dc:description/>
  <cp:lastModifiedBy>Mark</cp:lastModifiedBy>
  <cp:lastPrinted>2009-10-01T16:32:05Z</cp:lastPrinted>
  <dcterms:created xsi:type="dcterms:W3CDTF">2008-08-31T21:47:54Z</dcterms:created>
  <dcterms:modified xsi:type="dcterms:W3CDTF">2009-10-30T15:50:10Z</dcterms:modified>
  <cp:category/>
  <cp:version/>
  <cp:contentType/>
  <cp:contentStatus/>
</cp:coreProperties>
</file>